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9140" windowHeight="10344"/>
  </bookViews>
  <sheets>
    <sheet name="Персонал (1)" sheetId="1" r:id="rId1"/>
  </sheets>
  <calcPr calcId="0"/>
</workbook>
</file>

<file path=xl/calcChain.xml><?xml version="1.0" encoding="utf-8"?>
<calcChain xmlns="http://schemas.openxmlformats.org/spreadsheetml/2006/main">
  <c r="C2" i="1" l="1"/>
  <c r="W2" i="1"/>
  <c r="X2" i="1"/>
  <c r="AO2" i="1"/>
  <c r="AP2" i="1"/>
  <c r="AQ2" i="1"/>
  <c r="AR2" i="1"/>
  <c r="AS2" i="1"/>
  <c r="AT2" i="1"/>
  <c r="AU2" i="1"/>
  <c r="BG2" i="1"/>
  <c r="CA2" i="1"/>
  <c r="C3" i="1"/>
  <c r="W3" i="1"/>
  <c r="X3" i="1"/>
  <c r="AO3" i="1"/>
  <c r="AP3" i="1"/>
  <c r="AQ3" i="1"/>
  <c r="AR3" i="1"/>
  <c r="AS3" i="1"/>
  <c r="AT3" i="1"/>
  <c r="AU3" i="1"/>
  <c r="BG3" i="1"/>
  <c r="CA3" i="1"/>
  <c r="C4" i="1"/>
  <c r="W4" i="1"/>
  <c r="X4" i="1"/>
  <c r="AO4" i="1"/>
  <c r="AP4" i="1"/>
  <c r="AQ4" i="1"/>
  <c r="AR4" i="1"/>
  <c r="AS4" i="1"/>
  <c r="AT4" i="1"/>
  <c r="AU4" i="1"/>
  <c r="BG4" i="1"/>
  <c r="CA4" i="1"/>
  <c r="C5" i="1"/>
  <c r="W5" i="1"/>
  <c r="X5" i="1"/>
  <c r="AO5" i="1"/>
  <c r="AP5" i="1"/>
  <c r="AQ5" i="1"/>
  <c r="AR5" i="1"/>
  <c r="AS5" i="1"/>
  <c r="AT5" i="1"/>
  <c r="AU5" i="1"/>
  <c r="BG5" i="1"/>
  <c r="CA5" i="1"/>
  <c r="C6" i="1"/>
  <c r="W6" i="1"/>
  <c r="X6" i="1"/>
  <c r="AO6" i="1"/>
  <c r="AP6" i="1"/>
  <c r="AQ6" i="1"/>
  <c r="AR6" i="1"/>
  <c r="AS6" i="1"/>
  <c r="AT6" i="1"/>
  <c r="AU6" i="1"/>
  <c r="BG6" i="1"/>
  <c r="CA6" i="1"/>
  <c r="C7" i="1"/>
  <c r="W7" i="1"/>
  <c r="X7" i="1"/>
  <c r="AO7" i="1"/>
  <c r="AP7" i="1"/>
  <c r="AR7" i="1"/>
  <c r="AS7" i="1"/>
  <c r="C8" i="1"/>
  <c r="W8" i="1"/>
  <c r="X8" i="1"/>
  <c r="AO8" i="1"/>
  <c r="AP8" i="1"/>
  <c r="AQ8" i="1"/>
  <c r="AR8" i="1"/>
  <c r="AS8" i="1"/>
  <c r="AT8" i="1"/>
  <c r="AU8" i="1"/>
  <c r="BG8" i="1"/>
  <c r="CA8" i="1"/>
  <c r="C9" i="1"/>
  <c r="W9" i="1"/>
  <c r="X9" i="1"/>
  <c r="AO9" i="1"/>
  <c r="AP9" i="1"/>
  <c r="AR9" i="1"/>
  <c r="AS9" i="1"/>
  <c r="C10" i="1"/>
  <c r="W10" i="1"/>
  <c r="X10" i="1"/>
  <c r="AO10" i="1"/>
  <c r="AP10" i="1"/>
  <c r="AQ10" i="1"/>
  <c r="AR10" i="1"/>
  <c r="AS10" i="1"/>
  <c r="AT10" i="1"/>
  <c r="AU10" i="1"/>
  <c r="BG10" i="1"/>
  <c r="CA10" i="1"/>
  <c r="C11" i="1"/>
  <c r="W11" i="1"/>
  <c r="X11" i="1"/>
  <c r="AO11" i="1"/>
  <c r="AP11" i="1"/>
  <c r="AQ11" i="1"/>
  <c r="AR11" i="1"/>
  <c r="AS11" i="1"/>
  <c r="AT11" i="1"/>
  <c r="AU11" i="1"/>
  <c r="BG11" i="1"/>
  <c r="CA11" i="1"/>
  <c r="C12" i="1"/>
  <c r="W12" i="1"/>
  <c r="X12" i="1"/>
  <c r="AO12" i="1"/>
  <c r="AP12" i="1"/>
  <c r="AQ12" i="1"/>
  <c r="AR12" i="1"/>
  <c r="AS12" i="1"/>
  <c r="AT12" i="1"/>
  <c r="AU12" i="1"/>
  <c r="CA12" i="1"/>
  <c r="C13" i="1"/>
  <c r="W13" i="1"/>
  <c r="X13" i="1"/>
  <c r="AO13" i="1"/>
  <c r="AP13" i="1"/>
  <c r="AQ13" i="1"/>
  <c r="AR13" i="1"/>
  <c r="AS13" i="1"/>
  <c r="AT13" i="1"/>
  <c r="AU13" i="1"/>
  <c r="BG13" i="1"/>
  <c r="CA13" i="1"/>
  <c r="C14" i="1"/>
  <c r="W14" i="1"/>
  <c r="X14" i="1"/>
  <c r="AO14" i="1"/>
  <c r="AP14" i="1"/>
  <c r="AQ14" i="1"/>
  <c r="AR14" i="1"/>
  <c r="AS14" i="1"/>
  <c r="AT14" i="1"/>
  <c r="AU14" i="1"/>
  <c r="BG14" i="1"/>
  <c r="CA14" i="1"/>
  <c r="C15" i="1"/>
  <c r="W15" i="1"/>
  <c r="X15" i="1"/>
  <c r="AO15" i="1"/>
  <c r="AP15" i="1"/>
  <c r="AQ15" i="1"/>
  <c r="AR15" i="1"/>
  <c r="AS15" i="1"/>
  <c r="AT15" i="1"/>
  <c r="AU15" i="1"/>
  <c r="BG15" i="1"/>
  <c r="CA15" i="1"/>
  <c r="C16" i="1"/>
  <c r="W16" i="1"/>
  <c r="X16" i="1"/>
  <c r="AO16" i="1"/>
  <c r="AP16" i="1"/>
  <c r="AQ16" i="1"/>
  <c r="AR16" i="1"/>
  <c r="AS16" i="1"/>
  <c r="AT16" i="1"/>
  <c r="AU16" i="1"/>
  <c r="CA16" i="1"/>
  <c r="C17" i="1"/>
  <c r="W17" i="1"/>
  <c r="X17" i="1"/>
  <c r="AO17" i="1"/>
  <c r="AP17" i="1"/>
  <c r="AQ17" i="1"/>
  <c r="AR17" i="1"/>
  <c r="AS17" i="1"/>
  <c r="AT17" i="1"/>
  <c r="AU17" i="1"/>
  <c r="BG17" i="1"/>
  <c r="CA17" i="1"/>
  <c r="C18" i="1"/>
  <c r="W18" i="1"/>
  <c r="X18" i="1"/>
  <c r="AO18" i="1"/>
  <c r="AP18" i="1"/>
  <c r="AQ18" i="1"/>
  <c r="AR18" i="1"/>
  <c r="AS18" i="1"/>
  <c r="AT18" i="1"/>
  <c r="AU18" i="1"/>
  <c r="BG18" i="1"/>
  <c r="CA18" i="1"/>
  <c r="C19" i="1"/>
  <c r="W19" i="1"/>
  <c r="X19" i="1"/>
  <c r="AO19" i="1"/>
  <c r="AP19" i="1"/>
  <c r="AQ19" i="1"/>
  <c r="AR19" i="1"/>
  <c r="AS19" i="1"/>
  <c r="AT19" i="1"/>
  <c r="AU19" i="1"/>
  <c r="BG19" i="1"/>
  <c r="CA19" i="1"/>
  <c r="C20" i="1"/>
  <c r="W20" i="1"/>
  <c r="X20" i="1"/>
  <c r="AO20" i="1"/>
  <c r="AP20" i="1"/>
  <c r="AQ20" i="1"/>
  <c r="AR20" i="1"/>
  <c r="AS20" i="1"/>
  <c r="AT20" i="1"/>
  <c r="AU20" i="1"/>
  <c r="BG20" i="1"/>
  <c r="CA20" i="1"/>
  <c r="C21" i="1"/>
  <c r="W21" i="1"/>
  <c r="X21" i="1"/>
  <c r="AO21" i="1"/>
  <c r="AP21" i="1"/>
  <c r="AQ21" i="1"/>
  <c r="AR21" i="1"/>
  <c r="AS21" i="1"/>
  <c r="AT21" i="1"/>
  <c r="AU21" i="1"/>
  <c r="BG21" i="1"/>
  <c r="CA21" i="1"/>
  <c r="C22" i="1"/>
  <c r="W22" i="1"/>
  <c r="X22" i="1"/>
  <c r="AO22" i="1"/>
  <c r="AP22" i="1"/>
  <c r="AQ22" i="1"/>
  <c r="AR22" i="1"/>
  <c r="AS22" i="1"/>
  <c r="AT22" i="1"/>
  <c r="AU22" i="1"/>
  <c r="BG22" i="1"/>
  <c r="CA22" i="1"/>
  <c r="C23" i="1"/>
  <c r="W23" i="1"/>
  <c r="X23" i="1"/>
  <c r="AO23" i="1"/>
  <c r="AP23" i="1"/>
  <c r="AQ23" i="1"/>
  <c r="AR23" i="1"/>
  <c r="AS23" i="1"/>
  <c r="AT23" i="1"/>
  <c r="AU23" i="1"/>
  <c r="BG23" i="1"/>
  <c r="CA23" i="1"/>
  <c r="C24" i="1"/>
  <c r="W24" i="1"/>
  <c r="X24" i="1"/>
  <c r="AO24" i="1"/>
  <c r="AP24" i="1"/>
  <c r="AQ24" i="1"/>
  <c r="AR24" i="1"/>
  <c r="AS24" i="1"/>
  <c r="AT24" i="1"/>
  <c r="AU24" i="1"/>
  <c r="BG24" i="1"/>
  <c r="CA24" i="1"/>
  <c r="C25" i="1"/>
  <c r="W25" i="1"/>
  <c r="X25" i="1"/>
  <c r="AO25" i="1"/>
  <c r="AP25" i="1"/>
  <c r="AQ25" i="1"/>
  <c r="AR25" i="1"/>
  <c r="AS25" i="1"/>
  <c r="AT25" i="1"/>
  <c r="AU25" i="1"/>
  <c r="BG25" i="1"/>
  <c r="CA25" i="1"/>
  <c r="C26" i="1"/>
  <c r="W26" i="1"/>
  <c r="X26" i="1"/>
  <c r="AO26" i="1"/>
  <c r="AP26" i="1"/>
  <c r="AQ26" i="1"/>
  <c r="AR26" i="1"/>
  <c r="AS26" i="1"/>
  <c r="AT26" i="1"/>
  <c r="AU26" i="1"/>
  <c r="BG26" i="1"/>
  <c r="CA26" i="1"/>
  <c r="C27" i="1"/>
  <c r="W27" i="1"/>
  <c r="X27" i="1"/>
  <c r="AO27" i="1"/>
  <c r="AP27" i="1"/>
  <c r="AQ27" i="1"/>
  <c r="AR27" i="1"/>
  <c r="AS27" i="1"/>
  <c r="AT27" i="1"/>
  <c r="AU27" i="1"/>
  <c r="BG27" i="1"/>
  <c r="CA27" i="1"/>
  <c r="C28" i="1"/>
  <c r="W28" i="1"/>
  <c r="X28" i="1"/>
  <c r="AO28" i="1"/>
  <c r="AP28" i="1"/>
  <c r="AQ28" i="1"/>
  <c r="AR28" i="1"/>
  <c r="AS28" i="1"/>
  <c r="AT28" i="1"/>
  <c r="AU28" i="1"/>
  <c r="BG28" i="1"/>
  <c r="CA28" i="1"/>
  <c r="C29" i="1"/>
  <c r="W29" i="1"/>
  <c r="X29" i="1"/>
  <c r="AO29" i="1"/>
  <c r="AP29" i="1"/>
  <c r="AQ29" i="1"/>
  <c r="AR29" i="1"/>
  <c r="AS29" i="1"/>
  <c r="AT29" i="1"/>
  <c r="AU29" i="1"/>
  <c r="BG29" i="1"/>
  <c r="CA29" i="1"/>
  <c r="C30" i="1"/>
  <c r="W30" i="1"/>
  <c r="X30" i="1"/>
  <c r="AO30" i="1"/>
  <c r="AP30" i="1"/>
  <c r="AQ30" i="1"/>
  <c r="AR30" i="1"/>
  <c r="AS30" i="1"/>
  <c r="AT30" i="1"/>
  <c r="AU30" i="1"/>
  <c r="BG30" i="1"/>
  <c r="CA30" i="1"/>
  <c r="C31" i="1"/>
  <c r="W31" i="1"/>
  <c r="X31" i="1"/>
  <c r="AO31" i="1"/>
  <c r="AP31" i="1"/>
  <c r="AQ31" i="1"/>
  <c r="AR31" i="1"/>
  <c r="AS31" i="1"/>
  <c r="AT31" i="1"/>
  <c r="AU31" i="1"/>
  <c r="C32" i="1"/>
  <c r="W32" i="1"/>
  <c r="X32" i="1"/>
  <c r="AO32" i="1"/>
  <c r="AP32" i="1"/>
  <c r="AQ32" i="1"/>
  <c r="AR32" i="1"/>
  <c r="AS32" i="1"/>
  <c r="AT32" i="1"/>
  <c r="AU32" i="1"/>
  <c r="BG32" i="1"/>
  <c r="CA32" i="1"/>
  <c r="C33" i="1"/>
  <c r="W33" i="1"/>
  <c r="X33" i="1"/>
  <c r="AO33" i="1"/>
  <c r="AP33" i="1"/>
  <c r="AR33" i="1"/>
  <c r="AS33" i="1"/>
  <c r="C34" i="1"/>
  <c r="W34" i="1"/>
  <c r="X34" i="1"/>
  <c r="AO34" i="1"/>
  <c r="AP34" i="1"/>
  <c r="AR34" i="1"/>
  <c r="AS34" i="1"/>
  <c r="C35" i="1"/>
  <c r="W35" i="1"/>
  <c r="X35" i="1"/>
  <c r="AO35" i="1"/>
  <c r="AP35" i="1"/>
  <c r="AQ35" i="1"/>
  <c r="AR35" i="1"/>
  <c r="AS35" i="1"/>
  <c r="AT35" i="1"/>
  <c r="AU35" i="1"/>
  <c r="BG35" i="1"/>
  <c r="CA35" i="1"/>
  <c r="C36" i="1"/>
  <c r="W36" i="1"/>
  <c r="X36" i="1"/>
  <c r="AO36" i="1"/>
  <c r="AP36" i="1"/>
  <c r="AQ36" i="1"/>
  <c r="AR36" i="1"/>
  <c r="AS36" i="1"/>
  <c r="AT36" i="1"/>
  <c r="AU36" i="1"/>
  <c r="BG36" i="1"/>
  <c r="CA36" i="1"/>
  <c r="C37" i="1"/>
  <c r="W37" i="1"/>
  <c r="X37" i="1"/>
  <c r="AO37" i="1"/>
  <c r="AP37" i="1"/>
  <c r="AR37" i="1"/>
  <c r="AS37" i="1"/>
  <c r="C38" i="1"/>
  <c r="W38" i="1"/>
  <c r="X38" i="1"/>
  <c r="AO38" i="1"/>
  <c r="AP38" i="1"/>
  <c r="AQ38" i="1"/>
  <c r="AR38" i="1"/>
  <c r="AS38" i="1"/>
  <c r="AT38" i="1"/>
  <c r="AU38" i="1"/>
  <c r="BG38" i="1"/>
  <c r="CA38" i="1"/>
  <c r="C39" i="1"/>
  <c r="W39" i="1"/>
  <c r="X39" i="1"/>
  <c r="AO39" i="1"/>
  <c r="AP39" i="1"/>
  <c r="AQ39" i="1"/>
  <c r="AR39" i="1"/>
  <c r="AS39" i="1"/>
  <c r="AT39" i="1"/>
  <c r="AU39" i="1"/>
  <c r="BG39" i="1"/>
  <c r="CA39" i="1"/>
  <c r="C40" i="1"/>
  <c r="W40" i="1"/>
  <c r="X40" i="1"/>
  <c r="AO40" i="1"/>
  <c r="AP40" i="1"/>
  <c r="AQ40" i="1"/>
  <c r="AR40" i="1"/>
  <c r="AS40" i="1"/>
  <c r="AT40" i="1"/>
  <c r="AU40" i="1"/>
  <c r="BG40" i="1"/>
  <c r="CA40" i="1"/>
  <c r="C41" i="1"/>
  <c r="W41" i="1"/>
  <c r="X41" i="1"/>
  <c r="AO41" i="1"/>
  <c r="AP41" i="1"/>
  <c r="AQ41" i="1"/>
  <c r="AR41" i="1"/>
  <c r="AS41" i="1"/>
  <c r="AT41" i="1"/>
  <c r="AU41" i="1"/>
  <c r="BG41" i="1"/>
  <c r="CA41" i="1"/>
  <c r="C42" i="1"/>
  <c r="W42" i="1"/>
  <c r="X42" i="1"/>
  <c r="AO42" i="1"/>
  <c r="AP42" i="1"/>
  <c r="AQ42" i="1"/>
  <c r="AR42" i="1"/>
  <c r="AS42" i="1"/>
  <c r="AT42" i="1"/>
  <c r="AU42" i="1"/>
  <c r="BG42" i="1"/>
  <c r="CA42" i="1"/>
  <c r="C43" i="1"/>
  <c r="W43" i="1"/>
  <c r="X43" i="1"/>
  <c r="AO43" i="1"/>
  <c r="AP43" i="1"/>
  <c r="AQ43" i="1"/>
  <c r="AR43" i="1"/>
  <c r="AS43" i="1"/>
  <c r="AT43" i="1"/>
  <c r="AU43" i="1"/>
  <c r="BG43" i="1"/>
  <c r="CA43" i="1"/>
  <c r="C44" i="1"/>
  <c r="W44" i="1"/>
  <c r="X44" i="1"/>
  <c r="AO44" i="1"/>
  <c r="AP44" i="1"/>
  <c r="AQ44" i="1"/>
  <c r="AR44" i="1"/>
  <c r="AS44" i="1"/>
  <c r="AT44" i="1"/>
  <c r="AU44" i="1"/>
  <c r="BG44" i="1"/>
  <c r="CA44" i="1"/>
  <c r="C45" i="1"/>
  <c r="W45" i="1"/>
  <c r="X45" i="1"/>
  <c r="AO45" i="1"/>
  <c r="AP45" i="1"/>
  <c r="AQ45" i="1"/>
  <c r="AR45" i="1"/>
  <c r="AS45" i="1"/>
  <c r="AT45" i="1"/>
  <c r="AU45" i="1"/>
  <c r="BG45" i="1"/>
  <c r="CA45" i="1"/>
  <c r="C46" i="1"/>
  <c r="W46" i="1"/>
  <c r="X46" i="1"/>
  <c r="AO46" i="1"/>
  <c r="AP46" i="1"/>
  <c r="AQ46" i="1"/>
  <c r="AR46" i="1"/>
  <c r="AS46" i="1"/>
  <c r="AT46" i="1"/>
  <c r="AU46" i="1"/>
  <c r="BG46" i="1"/>
  <c r="CA46" i="1"/>
  <c r="C47" i="1"/>
  <c r="W47" i="1"/>
  <c r="X47" i="1"/>
  <c r="AO47" i="1"/>
  <c r="AP47" i="1"/>
  <c r="AQ47" i="1"/>
  <c r="AR47" i="1"/>
  <c r="AS47" i="1"/>
  <c r="AT47" i="1"/>
  <c r="AU47" i="1"/>
  <c r="BG47" i="1"/>
  <c r="CA47" i="1"/>
  <c r="C48" i="1"/>
  <c r="W48" i="1"/>
  <c r="X48" i="1"/>
  <c r="AO48" i="1"/>
  <c r="AP48" i="1"/>
  <c r="AQ48" i="1"/>
  <c r="AR48" i="1"/>
  <c r="AS48" i="1"/>
  <c r="AT48" i="1"/>
  <c r="AU48" i="1"/>
  <c r="CA48" i="1"/>
  <c r="C49" i="1"/>
  <c r="W49" i="1"/>
  <c r="X49" i="1"/>
  <c r="AO49" i="1"/>
  <c r="AP49" i="1"/>
  <c r="AQ49" i="1"/>
  <c r="AR49" i="1"/>
  <c r="AS49" i="1"/>
  <c r="AT49" i="1"/>
  <c r="AU49" i="1"/>
  <c r="CA49" i="1"/>
  <c r="C50" i="1"/>
  <c r="W50" i="1"/>
  <c r="X50" i="1"/>
  <c r="AO50" i="1"/>
  <c r="AP50" i="1"/>
  <c r="AQ50" i="1"/>
  <c r="AR50" i="1"/>
  <c r="AS50" i="1"/>
  <c r="AT50" i="1"/>
  <c r="AU50" i="1"/>
  <c r="BG50" i="1"/>
  <c r="CA50" i="1"/>
  <c r="C51" i="1"/>
  <c r="W51" i="1"/>
  <c r="X51" i="1"/>
  <c r="AO51" i="1"/>
  <c r="AP51" i="1"/>
  <c r="AQ51" i="1"/>
  <c r="AR51" i="1"/>
  <c r="AS51" i="1"/>
  <c r="AT51" i="1"/>
  <c r="AU51" i="1"/>
  <c r="CA51" i="1"/>
  <c r="C52" i="1"/>
  <c r="W52" i="1"/>
  <c r="X52" i="1"/>
  <c r="AO52" i="1"/>
  <c r="AP52" i="1"/>
  <c r="AQ52" i="1"/>
  <c r="AR52" i="1"/>
  <c r="AS52" i="1"/>
  <c r="AT52" i="1"/>
  <c r="AU52" i="1"/>
  <c r="CA52" i="1"/>
  <c r="C53" i="1"/>
  <c r="W53" i="1"/>
  <c r="X53" i="1"/>
  <c r="AO53" i="1"/>
  <c r="AP53" i="1"/>
  <c r="AQ53" i="1"/>
  <c r="AR53" i="1"/>
  <c r="AS53" i="1"/>
  <c r="AT53" i="1"/>
  <c r="AU53" i="1"/>
  <c r="BG53" i="1"/>
  <c r="CA53" i="1"/>
  <c r="C54" i="1"/>
  <c r="W54" i="1"/>
  <c r="X54" i="1"/>
  <c r="AO54" i="1"/>
  <c r="AP54" i="1"/>
  <c r="AQ54" i="1"/>
  <c r="AR54" i="1"/>
  <c r="AS54" i="1"/>
  <c r="AT54" i="1"/>
  <c r="AU54" i="1"/>
  <c r="BG54" i="1"/>
  <c r="CA54" i="1"/>
  <c r="C55" i="1"/>
  <c r="W55" i="1"/>
  <c r="X55" i="1"/>
  <c r="AO55" i="1"/>
  <c r="AP55" i="1"/>
  <c r="AQ55" i="1"/>
  <c r="AR55" i="1"/>
  <c r="AS55" i="1"/>
  <c r="AT55" i="1"/>
  <c r="AU55" i="1"/>
  <c r="C56" i="1"/>
  <c r="W56" i="1"/>
  <c r="X56" i="1"/>
  <c r="AO56" i="1"/>
  <c r="AP56" i="1"/>
  <c r="AQ56" i="1"/>
  <c r="AR56" i="1"/>
  <c r="AS56" i="1"/>
  <c r="AT56" i="1"/>
  <c r="AU56" i="1"/>
  <c r="BG56" i="1"/>
  <c r="CA56" i="1"/>
  <c r="C57" i="1"/>
  <c r="W57" i="1"/>
  <c r="X57" i="1"/>
  <c r="AO57" i="1"/>
  <c r="AP57" i="1"/>
  <c r="AQ57" i="1"/>
  <c r="AR57" i="1"/>
  <c r="AS57" i="1"/>
  <c r="AT57" i="1"/>
  <c r="AU57" i="1"/>
  <c r="BG57" i="1"/>
  <c r="CA57" i="1"/>
  <c r="C58" i="1"/>
  <c r="W58" i="1"/>
  <c r="X58" i="1"/>
  <c r="AO58" i="1"/>
  <c r="AP58" i="1"/>
  <c r="AQ58" i="1"/>
  <c r="AR58" i="1"/>
  <c r="AS58" i="1"/>
  <c r="AT58" i="1"/>
  <c r="AU58" i="1"/>
  <c r="BG58" i="1"/>
  <c r="CA58" i="1"/>
  <c r="C59" i="1"/>
  <c r="W59" i="1"/>
  <c r="X59" i="1"/>
  <c r="AO59" i="1"/>
  <c r="AP59" i="1"/>
  <c r="AQ59" i="1"/>
  <c r="AR59" i="1"/>
  <c r="AS59" i="1"/>
  <c r="AT59" i="1"/>
  <c r="AU59" i="1"/>
  <c r="CA59" i="1"/>
  <c r="C60" i="1"/>
  <c r="W60" i="1"/>
  <c r="X60" i="1"/>
  <c r="AO60" i="1"/>
  <c r="AP60" i="1"/>
  <c r="AQ60" i="1"/>
  <c r="AR60" i="1"/>
  <c r="AS60" i="1"/>
  <c r="AT60" i="1"/>
  <c r="AU60" i="1"/>
  <c r="BG60" i="1"/>
  <c r="CA60" i="1"/>
  <c r="C61" i="1"/>
  <c r="W61" i="1"/>
  <c r="X61" i="1"/>
  <c r="AO61" i="1"/>
  <c r="AP61" i="1"/>
  <c r="AR61" i="1"/>
  <c r="AS61" i="1"/>
  <c r="C62" i="1"/>
  <c r="W62" i="1"/>
  <c r="X62" i="1"/>
  <c r="AO62" i="1"/>
  <c r="AP62" i="1"/>
  <c r="AQ62" i="1"/>
  <c r="AR62" i="1"/>
  <c r="AS62" i="1"/>
  <c r="AT62" i="1"/>
  <c r="AU62" i="1"/>
  <c r="BG62" i="1"/>
  <c r="CA62" i="1"/>
  <c r="C63" i="1"/>
  <c r="W63" i="1"/>
  <c r="X63" i="1"/>
  <c r="AO63" i="1"/>
  <c r="AP63" i="1"/>
  <c r="AQ63" i="1"/>
  <c r="AR63" i="1"/>
  <c r="AS63" i="1"/>
  <c r="AT63" i="1"/>
  <c r="AU63" i="1"/>
  <c r="BG63" i="1"/>
  <c r="CA63" i="1"/>
  <c r="C64" i="1"/>
  <c r="W64" i="1"/>
  <c r="X64" i="1"/>
  <c r="AO64" i="1"/>
  <c r="AP64" i="1"/>
  <c r="AQ64" i="1"/>
  <c r="AR64" i="1"/>
  <c r="AS64" i="1"/>
  <c r="AT64" i="1"/>
  <c r="AU64" i="1"/>
  <c r="CA64" i="1"/>
  <c r="C65" i="1"/>
  <c r="W65" i="1"/>
  <c r="X65" i="1"/>
  <c r="AO65" i="1"/>
  <c r="AP65" i="1"/>
  <c r="AR65" i="1"/>
  <c r="AS65" i="1"/>
  <c r="C66" i="1"/>
  <c r="W66" i="1"/>
  <c r="X66" i="1"/>
  <c r="AO66" i="1"/>
  <c r="AP66" i="1"/>
  <c r="AQ66" i="1"/>
  <c r="AR66" i="1"/>
  <c r="AS66" i="1"/>
  <c r="AT66" i="1"/>
  <c r="AU66" i="1"/>
  <c r="CA66" i="1"/>
  <c r="C67" i="1"/>
  <c r="W67" i="1"/>
  <c r="X67" i="1"/>
  <c r="AO67" i="1"/>
  <c r="AP67" i="1"/>
  <c r="AR67" i="1"/>
  <c r="AS67" i="1"/>
  <c r="C68" i="1"/>
  <c r="W68" i="1"/>
  <c r="X68" i="1"/>
  <c r="AO68" i="1"/>
  <c r="AP68" i="1"/>
  <c r="AR68" i="1"/>
  <c r="AS68" i="1"/>
  <c r="C69" i="1"/>
  <c r="W69" i="1"/>
  <c r="X69" i="1"/>
  <c r="AO69" i="1"/>
  <c r="AP69" i="1"/>
  <c r="AR69" i="1"/>
  <c r="AS69" i="1"/>
  <c r="C70" i="1"/>
  <c r="W70" i="1"/>
  <c r="X70" i="1"/>
  <c r="AO70" i="1"/>
  <c r="AP70" i="1"/>
  <c r="AQ70" i="1"/>
  <c r="AR70" i="1"/>
  <c r="AS70" i="1"/>
  <c r="AT70" i="1"/>
  <c r="AU70" i="1"/>
  <c r="CA70" i="1"/>
  <c r="C71" i="1"/>
  <c r="W71" i="1"/>
  <c r="X71" i="1"/>
  <c r="AO71" i="1"/>
  <c r="AP71" i="1"/>
  <c r="AQ71" i="1"/>
  <c r="AR71" i="1"/>
  <c r="AS71" i="1"/>
  <c r="AT71" i="1"/>
  <c r="AU71" i="1"/>
  <c r="CA71" i="1"/>
  <c r="C72" i="1"/>
  <c r="W72" i="1"/>
  <c r="X72" i="1"/>
  <c r="AO72" i="1"/>
  <c r="AP72" i="1"/>
  <c r="AR72" i="1"/>
  <c r="AS72" i="1"/>
</calcChain>
</file>

<file path=xl/sharedStrings.xml><?xml version="1.0" encoding="utf-8"?>
<sst xmlns="http://schemas.openxmlformats.org/spreadsheetml/2006/main" count="2574" uniqueCount="613">
  <si>
    <t>ID работника</t>
  </si>
  <si>
    <t>ID персонала</t>
  </si>
  <si>
    <t>ИИН</t>
  </si>
  <si>
    <t>Фамилия</t>
  </si>
  <si>
    <t>Имя</t>
  </si>
  <si>
    <t>Отчество</t>
  </si>
  <si>
    <t>Дата рождения</t>
  </si>
  <si>
    <t>Причина отсутствия ИИН [7303]</t>
  </si>
  <si>
    <t>Пол [199]</t>
  </si>
  <si>
    <t>Гражданство [6417]</t>
  </si>
  <si>
    <t>Национальность [5703]</t>
  </si>
  <si>
    <t>Номер документа, удостоверяющего личность [7299]</t>
  </si>
  <si>
    <t>Дата выдачи документа, удостоверяющего личность [7300]</t>
  </si>
  <si>
    <t>Вложение (прикрепите скан копию документа, удостоверяющего личность: 1-я скан копия, страница с паспорта, где ФИО) [7301]</t>
  </si>
  <si>
    <t>Вложение (прикрепите скан копию документа, удостоверяющего личность: 2-я скан копия, страница с печатью пограничной службы) [7302]</t>
  </si>
  <si>
    <t>Воинское звание [241]</t>
  </si>
  <si>
    <t>Инвалид [7066]</t>
  </si>
  <si>
    <t>Группа инвалидности [7067]</t>
  </si>
  <si>
    <t>Причина инвалидности [7068]</t>
  </si>
  <si>
    <t>Срок инвалидности [7069]</t>
  </si>
  <si>
    <t>Дата установления инвалидности [7185]</t>
  </si>
  <si>
    <t>Срок инвалидности  до [7070]</t>
  </si>
  <si>
    <t>Дата принятия на работу [233]</t>
  </si>
  <si>
    <t>Номер приказа о принятии на работу [6746]</t>
  </si>
  <si>
    <t>Приказ о приеме на работу [order_hire]</t>
  </si>
  <si>
    <t>Принят на работу [235]</t>
  </si>
  <si>
    <t>Срок трудового договора [6375]</t>
  </si>
  <si>
    <t>Справка об отсутствии медицинских противопоказании [reference_non_medical_contraindications]</t>
  </si>
  <si>
    <t>Справка об отсутствии в учете психиатрическом и (или) наркологическом диспансере [reference_non_psychiatric_narcology]</t>
  </si>
  <si>
    <t>Справка о несудимости [reference_non_conviction]</t>
  </si>
  <si>
    <t>Текущий статус сотрудника [6977]</t>
  </si>
  <si>
    <t>Должность [6649]</t>
  </si>
  <si>
    <t>Ставка основной должности [6659]</t>
  </si>
  <si>
    <t>Сотрудник [230]</t>
  </si>
  <si>
    <t>Академическая, ученая степень [6798]</t>
  </si>
  <si>
    <t>Образование [197]</t>
  </si>
  <si>
    <t>Диплом [teacher_diploma]</t>
  </si>
  <si>
    <t>Заключение аттестации [conclusion_of_certification]</t>
  </si>
  <si>
    <t>Признак образования [229]</t>
  </si>
  <si>
    <t>Специальное дефектологическое образование [6279]</t>
  </si>
  <si>
    <t>Общий  стаж работы  на момент принятия на работу [7003]</t>
  </si>
  <si>
    <t>Общий  стаж работы на текущий момент [7061]</t>
  </si>
  <si>
    <t>Стаж педагогической работы на текущий момент [7004]</t>
  </si>
  <si>
    <t>Стаж педагогической работы на текущий момент [7062]</t>
  </si>
  <si>
    <t>Общий стаж работы в данной организации [7180]</t>
  </si>
  <si>
    <t>Электронный адрес (Е-mail) [6430]</t>
  </si>
  <si>
    <t>Сотовый телефон (номер) [6431]</t>
  </si>
  <si>
    <t>Категория [198]</t>
  </si>
  <si>
    <t>Год подтверждения либо присвоения категории [6751]</t>
  </si>
  <si>
    <t>Язык обучения [5579]</t>
  </si>
  <si>
    <t>Ведет предмет (основная нагрузка)* [6658]</t>
  </si>
  <si>
    <t>Соответствие по основному предмету [6660]</t>
  </si>
  <si>
    <t>Ставка основного предмета [6661]</t>
  </si>
  <si>
    <t>Дополнительная должность [6749] / Должность [76298]</t>
  </si>
  <si>
    <t>Дополнительная должность [6749] / Ставка [76299]</t>
  </si>
  <si>
    <t>Ведет предмет (дополнительная нагрузка) [6285] / Предмет [75742]</t>
  </si>
  <si>
    <t>Ведет предмет (дополнительная нагрузка) [6285] / Ставка [75963]</t>
  </si>
  <si>
    <t>Наличие компьютерных/иных устройств дома [7215]</t>
  </si>
  <si>
    <t>Инвентарный номер [7236]</t>
  </si>
  <si>
    <t>Источник приобретения [7237]</t>
  </si>
  <si>
    <t>Год приобретения [7238]</t>
  </si>
  <si>
    <t>Наличие доступа к Интернету дома [7216]</t>
  </si>
  <si>
    <t>Обеспечен [7242]</t>
  </si>
  <si>
    <t>Серийный номер модема/роутера [7243]</t>
  </si>
  <si>
    <t>Прошел(-а) курсы по повышению квалификации [5736] / Место прохождения [75139]</t>
  </si>
  <si>
    <t>Прошел(-а) курсы по повышению квалификации [5736] / Предмет [75163]</t>
  </si>
  <si>
    <t>Прошел(-а) курсы по повышению квалификации [5736] / Программа обучения [76665]</t>
  </si>
  <si>
    <t>Прошел(-а) курсы по повышению квалификации [5736] / Форма прохождения [76666]</t>
  </si>
  <si>
    <t>Прошел(-а) курсы по повышению квалификации [5736] / Язык обучения [76667]</t>
  </si>
  <si>
    <t>Прошел(-а) курсы по повышению квалификации [5736] / Продолжительность курса, часы [76668]</t>
  </si>
  <si>
    <t>Прошел(-а) курсы по повышению квалификации [5736] / Дата начала курса [76669]</t>
  </si>
  <si>
    <t>Прошел(-а) курсы по повышению квалификации [5736] / Дата завершения [76670]</t>
  </si>
  <si>
    <t>Прошел(-а) курсы по повышению квалификации [5736] / № сертификата (диплома, грамоты) [76671]</t>
  </si>
  <si>
    <t>Преподает факультативный предмет [7051]</t>
  </si>
  <si>
    <t>В каких классах преподает [225]</t>
  </si>
  <si>
    <t>В каких классах больше часов [6380]</t>
  </si>
  <si>
    <t>Ведет предмет по дисциплинам естественно-математического цикла на английском языке [5680] / Предмет [74932]</t>
  </si>
  <si>
    <t>Ведет предмет по дисциплинам естественно-математического цикла на английском языке [5680] / Получает доплату [76664]</t>
  </si>
  <si>
    <t>Педагогический стаж по преподаванию на английском языке [5681]</t>
  </si>
  <si>
    <t>Учитель иностранного языка, прибывший из-за рубежа [6013]</t>
  </si>
  <si>
    <t>Учитель классов с вечерней формой обучения [243]</t>
  </si>
  <si>
    <t>Наличие классного руководства [7050]</t>
  </si>
  <si>
    <t>Документ, о прохождении курсов по повышению квалификации [training_courses]</t>
  </si>
  <si>
    <t>Уровень владения английским языком [425]</t>
  </si>
  <si>
    <t>Преподает или ведет воспитательный процесс детям с особыми образовательными потребностями [7063]</t>
  </si>
  <si>
    <t>Дата расторжения/прекращения трудового договора [234]</t>
  </si>
  <si>
    <t>Номер приказа о расторжении/прекращении трудового договора [6750]</t>
  </si>
  <si>
    <t>Причина расторжения/прекращения трудового договора [236]</t>
  </si>
  <si>
    <t>Приказ о расторжении/прекращении трудового договора [order_fire]</t>
  </si>
  <si>
    <t>Учебный год [ed_year_pers]</t>
  </si>
  <si>
    <t>Статус тестируемого [status_who_tested]</t>
  </si>
  <si>
    <t>Полученный балл [Test_score]</t>
  </si>
  <si>
    <t>Дата тестирования [Test_date]</t>
  </si>
  <si>
    <t>Номер приказа [order_number]</t>
  </si>
  <si>
    <t>Дата приказа [order_date]</t>
  </si>
  <si>
    <t>АЛИМОВА</t>
  </si>
  <si>
    <t>ЗАЙДА</t>
  </si>
  <si>
    <t>БУКЕНОВНА</t>
  </si>
  <si>
    <t>женский</t>
  </si>
  <si>
    <t>КАЗАХСТАН</t>
  </si>
  <si>
    <t>Казахи</t>
  </si>
  <si>
    <t>не служил в ВС</t>
  </si>
  <si>
    <t>другого района, города данной области</t>
  </si>
  <si>
    <t>определенный</t>
  </si>
  <si>
    <t>работает в данной организации</t>
  </si>
  <si>
    <t>учитель/преподаватель</t>
  </si>
  <si>
    <t>штатный</t>
  </si>
  <si>
    <t>не имеет степени</t>
  </si>
  <si>
    <t>Высшее (педагогическое)</t>
  </si>
  <si>
    <t>педагогическое</t>
  </si>
  <si>
    <t>нет</t>
  </si>
  <si>
    <t>педагог-исследователь</t>
  </si>
  <si>
    <t>Присвоено в 2018 году</t>
  </si>
  <si>
    <t>[русский]</t>
  </si>
  <si>
    <t>Казахский язык и литература</t>
  </si>
  <si>
    <t>по специальности, полученной в ВУЗе</t>
  </si>
  <si>
    <t>заместитель директора по учебной работе</t>
  </si>
  <si>
    <t>не преподает</t>
  </si>
  <si>
    <t>стационарный компьютер (обеспечен данной организацией)</t>
  </si>
  <si>
    <t>Республиканский бюджет</t>
  </si>
  <si>
    <t>2020 (с 1 сентября по 31 декабря)</t>
  </si>
  <si>
    <t>Да</t>
  </si>
  <si>
    <t>Личный</t>
  </si>
  <si>
    <t>АО НЦПК «Өрлеу» (Региональные филиалы АО  НЦПК«Өрлеу»)</t>
  </si>
  <si>
    <t>В рамках обновленного содержания образования/ предмет</t>
  </si>
  <si>
    <t>очная</t>
  </si>
  <si>
    <t>казахский</t>
  </si>
  <si>
    <t>2017-05-17T00:00:00</t>
  </si>
  <si>
    <t>2017-06-17T00:00:00</t>
  </si>
  <si>
    <t>[]</t>
  </si>
  <si>
    <t>Elementary</t>
  </si>
  <si>
    <t>АЛИАСКАРОВА</t>
  </si>
  <si>
    <t>ГУЛЬНАРА</t>
  </si>
  <si>
    <t>ТУРЛЫКОЖАЕВНА</t>
  </si>
  <si>
    <t>другой области Республики</t>
  </si>
  <si>
    <t>неопределенный</t>
  </si>
  <si>
    <t>педагог-эксперт</t>
  </si>
  <si>
    <t>Присвоено в 2020 году</t>
  </si>
  <si>
    <t>ноутбук (обеспечен данной организацией)</t>
  </si>
  <si>
    <t>2017-03-16T00:00:00</t>
  </si>
  <si>
    <t>2017-04-16T00:00:00</t>
  </si>
  <si>
    <t>[3 класс, 2 класс, 1 класс]</t>
  </si>
  <si>
    <t>Нет</t>
  </si>
  <si>
    <t>ДЮСЕКЕЕВА</t>
  </si>
  <si>
    <t>АЛИЯ</t>
  </si>
  <si>
    <t>БЕКТЕМИРОВНА</t>
  </si>
  <si>
    <t>невоеннообязан</t>
  </si>
  <si>
    <t>из другой организации образования</t>
  </si>
  <si>
    <t>Подтверждено в 2021 году</t>
  </si>
  <si>
    <t>Информатика</t>
  </si>
  <si>
    <t>Художественный труд</t>
  </si>
  <si>
    <t>АО НЦПК «Өрлеу» (Региональные филиалы АО  НЦПК«Өрлеу»), Назарбаев университет , Назарбаев университет</t>
  </si>
  <si>
    <t>Информатика , Информатика , Информатика</t>
  </si>
  <si>
    <t>В рамках обновленного содержания образования/ предмет, Языковые курсы для учителей физики, химии, биологии, информатики на английском языке, Языковые курсы для учителей физики, химии, биологии, информатики на английском языке</t>
  </si>
  <si>
    <t>очная, очная, очная</t>
  </si>
  <si>
    <t>русский, английский, английский</t>
  </si>
  <si>
    <t>80, 240, 420</t>
  </si>
  <si>
    <t>2019-06-17T00:00:00, 2017-09-04T00:00:00, 2018-02-19T00:00:00</t>
  </si>
  <si>
    <t>2019-06-28T00:00:00, 2017-11-17T00:00:00, 2018-06-16T00:00:00</t>
  </si>
  <si>
    <t>007525, NUEECPDPS1711, NUEECPDPS4644</t>
  </si>
  <si>
    <t>другие</t>
  </si>
  <si>
    <t>[8 класс, 6 класс, 5 класс, 9 класс, 11 класс, 4 класс, 10 класс]</t>
  </si>
  <si>
    <t>5-11(12)</t>
  </si>
  <si>
    <t>7.0 (C1-Advanced)</t>
  </si>
  <si>
    <t>ИСЛЯМОВА</t>
  </si>
  <si>
    <t>МАДИНА</t>
  </si>
  <si>
    <t>БУКИХАНОВНА</t>
  </si>
  <si>
    <t>учитель начальных классов</t>
  </si>
  <si>
    <t>педагог-модератор</t>
  </si>
  <si>
    <t>начальное обучение</t>
  </si>
  <si>
    <t>воспитатель, предшкольных классов</t>
  </si>
  <si>
    <t>Центр педагогического мастерства АОО «НИШ», Центр педагогического мастерства АОО «НИШ»</t>
  </si>
  <si>
    <t>начальное обучение, начальное обучение</t>
  </si>
  <si>
    <t>В рамках обновленного содержания образования/ предмет, Модернизированные уровневые курсы</t>
  </si>
  <si>
    <t>очная, очная</t>
  </si>
  <si>
    <t>русский, русский</t>
  </si>
  <si>
    <t>40, 120</t>
  </si>
  <si>
    <t>2017-11-25T00:00:00, 2018-07-15T00:00:00</t>
  </si>
  <si>
    <t>2017-11-30T00:00:00, 2018-08-03T00:00:00</t>
  </si>
  <si>
    <t>052685, 013906</t>
  </si>
  <si>
    <t>[2 класс, 0 класс]</t>
  </si>
  <si>
    <t>не владеет английским языком</t>
  </si>
  <si>
    <t>БИЖАНОВА</t>
  </si>
  <si>
    <t>ЛЯЗЗАТ</t>
  </si>
  <si>
    <t>СЕРИКОВНА</t>
  </si>
  <si>
    <t>Техническое и профессиональное (педагогическое)</t>
  </si>
  <si>
    <t>Присвоено в 2021 году</t>
  </si>
  <si>
    <t>по специальности, полученной в организации ТиПО</t>
  </si>
  <si>
    <t>АО НЦПК «Өрлеу» (Региональные филиалы АО  НЦПК«Өрлеу»), Не проходил(а)</t>
  </si>
  <si>
    <t>начальное обучение, null</t>
  </si>
  <si>
    <t>В рамках обновленного содержания образования/ предмет, null</t>
  </si>
  <si>
    <t>очная, null</t>
  </si>
  <si>
    <t>русский, null</t>
  </si>
  <si>
    <t>120, null</t>
  </si>
  <si>
    <t>2017-12-09T00:00:00, null</t>
  </si>
  <si>
    <t>2017-12-27T00:00:00, null</t>
  </si>
  <si>
    <t>008710, null</t>
  </si>
  <si>
    <t>ШАЙКЕНОВ</t>
  </si>
  <si>
    <t>МЕЙРАМ</t>
  </si>
  <si>
    <t>ШАЯХМЕТОВИЧ</t>
  </si>
  <si>
    <t>мужской</t>
  </si>
  <si>
    <t>офицерский состав</t>
  </si>
  <si>
    <t>из непедагогического ВУЗа</t>
  </si>
  <si>
    <t>заместитель заведующего по хозяйственной части</t>
  </si>
  <si>
    <t>Высшее (профессиональное)</t>
  </si>
  <si>
    <t>другое</t>
  </si>
  <si>
    <t>ЗАВАДСКАЯ</t>
  </si>
  <si>
    <t>ГАЛИНА</t>
  </si>
  <si>
    <t>НИКОЛАЕВНА</t>
  </si>
  <si>
    <t>Украинцы</t>
  </si>
  <si>
    <t>заместитель директора по воспитательной работе</t>
  </si>
  <si>
    <t>Центр педагогического мастерства АОО «НИШ», Другие организации</t>
  </si>
  <si>
    <t>Художественный труд , Художественный труд</t>
  </si>
  <si>
    <t>В рамках обновленного содержания образования/ предмет, В рамках обновленного содержания образования/ предмет</t>
  </si>
  <si>
    <t>40, 40</t>
  </si>
  <si>
    <t>2019-07-10T00:00:00, 2019-07-16T00:00:00</t>
  </si>
  <si>
    <t>2019-07-16T00:00:00, 2019-07-16T00:00:00</t>
  </si>
  <si>
    <t>002785, 002785</t>
  </si>
  <si>
    <t>РЫМБАЙ</t>
  </si>
  <si>
    <t>ЗАМАНБЕК</t>
  </si>
  <si>
    <t>ТАЛҒАТҰЛЫ</t>
  </si>
  <si>
    <t>слесарь-сантехник</t>
  </si>
  <si>
    <t>ЖУСУПОВА</t>
  </si>
  <si>
    <t>МАРЖАН</t>
  </si>
  <si>
    <t>БОЛАТОВНА</t>
  </si>
  <si>
    <t>директор</t>
  </si>
  <si>
    <t>учитель с высшим  образованием  каз.яз. для русских школ</t>
  </si>
  <si>
    <t>2019-04-06T00:00:00</t>
  </si>
  <si>
    <t>2019-05-06T00:00:00</t>
  </si>
  <si>
    <t>[6 класс]</t>
  </si>
  <si>
    <t>БЕКЕНОВА</t>
  </si>
  <si>
    <t>ЖАННА</t>
  </si>
  <si>
    <t>ЕЛУБАЕВНА</t>
  </si>
  <si>
    <t>Самопознание</t>
  </si>
  <si>
    <t>АО НЦПК «Өрлеу» (Региональные филиалы АО  НЦПК«Өрлеу»), Центр педагогического мастерства АОО «НИШ»</t>
  </si>
  <si>
    <t>Самопознание, начальное обучение</t>
  </si>
  <si>
    <t>Предметные курсы/предмет, В рамках обновленного содержания образования/ предмет</t>
  </si>
  <si>
    <t>72, 120</t>
  </si>
  <si>
    <t>2015-10-08T00:00:00, 2019-05-20T00:00:00</t>
  </si>
  <si>
    <t>2015-10-17T00:00:00, 2019-06-10T00:00:00</t>
  </si>
  <si>
    <t>0106961, 014999</t>
  </si>
  <si>
    <t>[10 класс, 11 класс, 3 класс, 5 класс, 4 класс]</t>
  </si>
  <si>
    <t>ДЗЮБЕНКО</t>
  </si>
  <si>
    <t>ГЕОРГИЕВНА</t>
  </si>
  <si>
    <t>Русские</t>
  </si>
  <si>
    <t>Физика/Астрономия</t>
  </si>
  <si>
    <t>лаборант</t>
  </si>
  <si>
    <t>стационарный компьютер (личный)</t>
  </si>
  <si>
    <t>Естествознание</t>
  </si>
  <si>
    <t>русский</t>
  </si>
  <si>
    <t>2019-05-11T00:00:00</t>
  </si>
  <si>
    <t>2019-05-22T00:00:00</t>
  </si>
  <si>
    <t>[5 класс, 6 класс]</t>
  </si>
  <si>
    <t>КАБДЕНОВА</t>
  </si>
  <si>
    <t>ЖАДЫРА</t>
  </si>
  <si>
    <t>ОЛЖАСКЫЗЫ</t>
  </si>
  <si>
    <t>из педагогического колледжа</t>
  </si>
  <si>
    <t>Английский язык</t>
  </si>
  <si>
    <t>2017-12-02T00:00:00</t>
  </si>
  <si>
    <t>2017-12-27T00:00:00</t>
  </si>
  <si>
    <t>[6 класс, 7 класс, 8 класс]</t>
  </si>
  <si>
    <t>Intermediate</t>
  </si>
  <si>
    <t>ИСПАЕВА</t>
  </si>
  <si>
    <t>ЖАНАТ</t>
  </si>
  <si>
    <t>НУРБАХИТОВНА</t>
  </si>
  <si>
    <t>Русский язык и литература</t>
  </si>
  <si>
    <t>2018-06-10T00:00:00</t>
  </si>
  <si>
    <t>2018-07-05T00:00:00</t>
  </si>
  <si>
    <t>[8 класс, 6 класс, 9 класс]</t>
  </si>
  <si>
    <t>ЖАНАБАЕВА</t>
  </si>
  <si>
    <t>КЛАРА</t>
  </si>
  <si>
    <t>МУХТАРОВНА</t>
  </si>
  <si>
    <t>2016-06-24T00:00:00</t>
  </si>
  <si>
    <t>2016-07-19T00:00:00</t>
  </si>
  <si>
    <t>[1 класс]</t>
  </si>
  <si>
    <t>Beginner</t>
  </si>
  <si>
    <t>ЖИЕНБАЕВА</t>
  </si>
  <si>
    <t>БАГДАТ</t>
  </si>
  <si>
    <t>МАЛЬГАЖДАРОВНА</t>
  </si>
  <si>
    <t>Присвоено в 2019 году</t>
  </si>
  <si>
    <t>ноутбук (личный)</t>
  </si>
  <si>
    <t>2017-04-03T00:00:00</t>
  </si>
  <si>
    <t>2017-04-28T00:00:00</t>
  </si>
  <si>
    <t>[10 класс, 9 класс, 5 класс]</t>
  </si>
  <si>
    <t>НУРГАЛИЕВА</t>
  </si>
  <si>
    <t>НАЗГУЛЬ</t>
  </si>
  <si>
    <t>КУСНЕТДЕНОВНА</t>
  </si>
  <si>
    <t>2017-04-01T00:00:00</t>
  </si>
  <si>
    <t>[6 класс, 8 класс]</t>
  </si>
  <si>
    <t>ТАЖИТДИНОВА</t>
  </si>
  <si>
    <t>ГУЛЖАХАН</t>
  </si>
  <si>
    <t>МЕЙРАМСАГАТОВНА</t>
  </si>
  <si>
    <t>[3 класс, 1 класс, 2 класс]</t>
  </si>
  <si>
    <t>ФРАНЦКЕВИЧ</t>
  </si>
  <si>
    <t>НАТАЛЬЯ</t>
  </si>
  <si>
    <t>ПАВЛОВНА</t>
  </si>
  <si>
    <t>Подтверждено в 2019 году</t>
  </si>
  <si>
    <t>Центр педагогического мастерства АОО «НИШ»</t>
  </si>
  <si>
    <t>2016-05-27T00:00:00</t>
  </si>
  <si>
    <t>2016-06-21T00:00:00</t>
  </si>
  <si>
    <t>[3 класс]</t>
  </si>
  <si>
    <t>АЗЯБИНА</t>
  </si>
  <si>
    <t>ЕЛИЗАВЕТА</t>
  </si>
  <si>
    <t>ЯКОВЛЕВНА</t>
  </si>
  <si>
    <t>География</t>
  </si>
  <si>
    <t>Биология</t>
  </si>
  <si>
    <t>АО НЦПК «Өрлеу» (Региональные филиалы АО  НЦПК«Өрлеу»), Центр педагогического мастерства АОО «НИШ», Центр педагогического мастерства АОО «НИШ»</t>
  </si>
  <si>
    <t>География, Биология, Биология</t>
  </si>
  <si>
    <t>русский, русский, русский</t>
  </si>
  <si>
    <t>2019-04-08T00:00:00, 2017-09-04T00:00:00, 2018-02-19T00:00:00</t>
  </si>
  <si>
    <t>2019-04-22T00:00:00, 2017-11-04T00:00:00, 2018-06-16T00:00:00</t>
  </si>
  <si>
    <t>007499, NUEECPDPS1710, NUEECPDPS4650</t>
  </si>
  <si>
    <t>[8 класс, 10 класс, 11 класс, 9 класс, 6 класс, 7 класс, 5 класс]</t>
  </si>
  <si>
    <t>110-120 (C1-Advanced)</t>
  </si>
  <si>
    <t>ЖУМАБЕКОВА</t>
  </si>
  <si>
    <t>АЙСЛУК</t>
  </si>
  <si>
    <t>ШАЙМУХАНОВНА</t>
  </si>
  <si>
    <t>2019-02-02T00:00:00</t>
  </si>
  <si>
    <t>2019-03-18T00:00:00</t>
  </si>
  <si>
    <t>[10 класс, 6 класс, 7 класс, 11 класс]</t>
  </si>
  <si>
    <t>БОНДАРЕНКО</t>
  </si>
  <si>
    <t>ЛИЛИЯ</t>
  </si>
  <si>
    <t>РИЧАРДОВНА</t>
  </si>
  <si>
    <t>Поляки</t>
  </si>
  <si>
    <t>Центр педагогического мастерства АОО «НИШ», АО НЦПК «Өрлеу» (Региональные филиалы АО  НЦПК«Өрлеу»), Другие организации , Центр педагогического мастерства АОО «НИШ»</t>
  </si>
  <si>
    <t>Физика/Астрономия , Информатика , Физика/Астрономия , Физика/Астрономия</t>
  </si>
  <si>
    <t>В рамках обновленного содержания образования/ предмет, В рамках обновленного содержания образования/ предмет, Языковые курсы для учителей физики, химии, биологии, информатики на английском языке, Языковые курсы для учителей физики, химии, биологии, информатики на английском языке</t>
  </si>
  <si>
    <t>очная, очная, очная, очная</t>
  </si>
  <si>
    <t>русский, русский, русский, русский</t>
  </si>
  <si>
    <t>80, 80, 96, 420</t>
  </si>
  <si>
    <t>2018-07-09T00:00:00, 2019-07-01T00:00:00, 2017-10-17T00:00:00, 2018-08-15T00:00:00</t>
  </si>
  <si>
    <t>2018-07-24T00:00:00, 2019-07-16T00:00:00, 2017-11-02T00:00:00, 2018-12-07T00:00:00</t>
  </si>
  <si>
    <t>004584, 007523, 15445, NUEECPDPS6101</t>
  </si>
  <si>
    <t>[7 класс, 8 класс, 9 класс, 10 класс, 11 класс, 6 класс]</t>
  </si>
  <si>
    <t>ИЛЬИНА</t>
  </si>
  <si>
    <t>ЕЛЕНА</t>
  </si>
  <si>
    <t>ПЕТРОВНА</t>
  </si>
  <si>
    <t>первая категория</t>
  </si>
  <si>
    <t>Подтверждено в 2015 году</t>
  </si>
  <si>
    <t>История</t>
  </si>
  <si>
    <t>2017-12-04T00:00:00</t>
  </si>
  <si>
    <t>2017-12-20T00:00:00</t>
  </si>
  <si>
    <t>Религиоведение</t>
  </si>
  <si>
    <t>[9 класс, 11 класс, 7 класс]</t>
  </si>
  <si>
    <t>КОЗГАНБАЕВА</t>
  </si>
  <si>
    <t>ГУЛЬНАР</t>
  </si>
  <si>
    <t>АЙТАНОВНА</t>
  </si>
  <si>
    <t>АО НЦПК «Өрлеу» (Региональные филиалы АО  НЦПК«Өрлеу»), Другие организации</t>
  </si>
  <si>
    <t>История, другие</t>
  </si>
  <si>
    <t>В рамках обновленного содержания образования/ предмет, Инклюзивное образование</t>
  </si>
  <si>
    <t>очная, дистанционная</t>
  </si>
  <si>
    <t>80, 80</t>
  </si>
  <si>
    <t>2017-05-02T00:00:00, 2021-04-26T00:00:00</t>
  </si>
  <si>
    <t>2017-05-12T00:00:00, 2021-04-30T00:00:00</t>
  </si>
  <si>
    <t>000018, 010730</t>
  </si>
  <si>
    <t>[7 класс, 8 класс]</t>
  </si>
  <si>
    <t>УАЛИЕВА</t>
  </si>
  <si>
    <t>ЖУЛДУЗ</t>
  </si>
  <si>
    <t>КАСЕНОВНА</t>
  </si>
  <si>
    <t>из педагогического ВУЗа</t>
  </si>
  <si>
    <t>Подтверждено в 2018 году</t>
  </si>
  <si>
    <t>2016-06-20T00:00:00</t>
  </si>
  <si>
    <t>[4 класс]</t>
  </si>
  <si>
    <t>ЖЕТПИСОВА</t>
  </si>
  <si>
    <t>АСЫЛ</t>
  </si>
  <si>
    <t>ДАСТАНОВНА</t>
  </si>
  <si>
    <t>НИКОЛАЙЧУК</t>
  </si>
  <si>
    <t>НИНА</t>
  </si>
  <si>
    <t>ИВАНОВНА</t>
  </si>
  <si>
    <t>Химия</t>
  </si>
  <si>
    <t>2018-07-23T00:00:00</t>
  </si>
  <si>
    <t>2018-08-03T00:00:00</t>
  </si>
  <si>
    <t>[8 класс, 9 класс, 10 класс, 7 класс, 11 класс]</t>
  </si>
  <si>
    <t>НАУРАЗОВА</t>
  </si>
  <si>
    <t>КАБДУЛЛОВНА</t>
  </si>
  <si>
    <t>Присвоено в 2016 году</t>
  </si>
  <si>
    <t>2016-06-29T00:00:00</t>
  </si>
  <si>
    <t>[0 класс, 1 класс]</t>
  </si>
  <si>
    <t>СМАИЛОВА</t>
  </si>
  <si>
    <t>АКМАРАЛ</t>
  </si>
  <si>
    <t>ЖЕНИСОВНА</t>
  </si>
  <si>
    <t>НОСАЧ</t>
  </si>
  <si>
    <t>ТАТЬЯНА</t>
  </si>
  <si>
    <t>АЛЕКСАНДРОВНА</t>
  </si>
  <si>
    <t>заведующий библиотекой</t>
  </si>
  <si>
    <t>Не проходил(а)</t>
  </si>
  <si>
    <t>[11 класс, 5 класс, 8 класс]</t>
  </si>
  <si>
    <t>КЕРНЕЙБЕКОВА</t>
  </si>
  <si>
    <t>МУХАТБЕКОВНА</t>
  </si>
  <si>
    <t>социальный педагог</t>
  </si>
  <si>
    <t>педагог</t>
  </si>
  <si>
    <t>Инклюзивное образование</t>
  </si>
  <si>
    <t>2018-05-21T00:00:00</t>
  </si>
  <si>
    <t>2018-06-01T00:00:00</t>
  </si>
  <si>
    <t>ИДРИСОВА</t>
  </si>
  <si>
    <t>ГУЛЬБАГАЛАН</t>
  </si>
  <si>
    <t>2016-05-09T00:00:00</t>
  </si>
  <si>
    <t>2016-06-10T00:00:00</t>
  </si>
  <si>
    <t>[4 класс, 5 класс]</t>
  </si>
  <si>
    <t>КАЛИЕВА</t>
  </si>
  <si>
    <t>МУКАЖАНОВНА</t>
  </si>
  <si>
    <t>из непедагогического колледжа</t>
  </si>
  <si>
    <t>секретарь</t>
  </si>
  <si>
    <t>Техническое и профессиональное образование</t>
  </si>
  <si>
    <t>САДУАКАСОВА</t>
  </si>
  <si>
    <t>БАЯН</t>
  </si>
  <si>
    <t>уборщик служебных помещений</t>
  </si>
  <si>
    <t>Общее среднее образование</t>
  </si>
  <si>
    <t>СЕЙТКАЗИЕВ</t>
  </si>
  <si>
    <t>ЕРЛАН</t>
  </si>
  <si>
    <t>НУРСИИТОВИЧ</t>
  </si>
  <si>
    <t>[7 класс]</t>
  </si>
  <si>
    <t>ОМАРБАЕВ</t>
  </si>
  <si>
    <t>ДАУРЕНБЕК</t>
  </si>
  <si>
    <t>МУСЛИМОВИЧ</t>
  </si>
  <si>
    <t>возвратился на педагогическую работу из числа бывших учителей</t>
  </si>
  <si>
    <t>Физическая культура</t>
  </si>
  <si>
    <t>Физическая культура, другие</t>
  </si>
  <si>
    <t>В рамках обновленного содержания образования/ предмет, В рамках обновленного содержания образования в системе специального и инклюзивного образования/предмет</t>
  </si>
  <si>
    <t>40, 80</t>
  </si>
  <si>
    <t>2017-07-05T00:00:00, 2021-07-02T00:00:00</t>
  </si>
  <si>
    <t>2017-07-11T00:00:00, 2021-07-16T00:00:00</t>
  </si>
  <si>
    <t>001744, 011647</t>
  </si>
  <si>
    <t>МОНАСТЫРЕВА</t>
  </si>
  <si>
    <t>СВЕТЛАНА</t>
  </si>
  <si>
    <t>ЮРЬЕВНА</t>
  </si>
  <si>
    <t>БОРИСЕНКО</t>
  </si>
  <si>
    <t>АННА</t>
  </si>
  <si>
    <t>ВАСИЛЬЕВНА</t>
  </si>
  <si>
    <t>Математика/алгебра/геометрия</t>
  </si>
  <si>
    <t>2017-06-05T00:00:00</t>
  </si>
  <si>
    <t>2017-06-19T00:00:00</t>
  </si>
  <si>
    <t>[8 класс, 6 класс]</t>
  </si>
  <si>
    <t>ТЮЛЕНЕВА</t>
  </si>
  <si>
    <t>АНАСТАСИЯ</t>
  </si>
  <si>
    <t>вторая категория</t>
  </si>
  <si>
    <t>психолог</t>
  </si>
  <si>
    <t>Национальный научно-практический, образовательный и оздоровительный центр «Бобек» (ННПООЦ «Бобек»)</t>
  </si>
  <si>
    <t>Другие программы</t>
  </si>
  <si>
    <t>2018-03-05T00:00:00</t>
  </si>
  <si>
    <t>2018-04-27T00:00:00</t>
  </si>
  <si>
    <t>[9 класс, 10 класс, 11 класс]</t>
  </si>
  <si>
    <t>ТЕРЛИКПАЕВ</t>
  </si>
  <si>
    <t>СУЛТАН</t>
  </si>
  <si>
    <t>АСКАРБЕКОВИЧ</t>
  </si>
  <si>
    <t>2017-12-12T00:00:00</t>
  </si>
  <si>
    <t>[7 класс, 6 класс, 5 класс, 8 класс]</t>
  </si>
  <si>
    <t>ТЕМИРХАНОВ</t>
  </si>
  <si>
    <t>АНАРБЕК</t>
  </si>
  <si>
    <t>МАРАТОВИЧ</t>
  </si>
  <si>
    <t>2019-06-24T00:00:00</t>
  </si>
  <si>
    <t>2019-07-02T00:00:00</t>
  </si>
  <si>
    <t>[6 класс, 5 класс, 8 класс]</t>
  </si>
  <si>
    <t>ТУСПАЕВА</t>
  </si>
  <si>
    <t>ДИНАРА</t>
  </si>
  <si>
    <t>САЛИЕВНА</t>
  </si>
  <si>
    <t>2019-06-03T00:00:00</t>
  </si>
  <si>
    <t>2019-06-17T00:00:00</t>
  </si>
  <si>
    <t>ҚАРАТАЕВА</t>
  </si>
  <si>
    <t>ӘЛИЯ</t>
  </si>
  <si>
    <t>МҰРАДИНҚЫЗЫ</t>
  </si>
  <si>
    <t>Upper-Intermediate</t>
  </si>
  <si>
    <t>ФОМУШКИНА</t>
  </si>
  <si>
    <t>АЛЕКСАНДРА</t>
  </si>
  <si>
    <t>МЕДЕТБАЕВ</t>
  </si>
  <si>
    <t>ЖЕНИС</t>
  </si>
  <si>
    <t>ДАУЛЕТОВИЧ</t>
  </si>
  <si>
    <t>[6 класс, 7 класс, 10 класс]</t>
  </si>
  <si>
    <t>ИЛЬЯШЕВА</t>
  </si>
  <si>
    <t>АСЕМГУЛ</t>
  </si>
  <si>
    <t>МУХАМЕДРАХИМОВНА</t>
  </si>
  <si>
    <t>2016-06-18T00:00:00</t>
  </si>
  <si>
    <t>[2 класс]</t>
  </si>
  <si>
    <t>МУЖЕБАЕВА</t>
  </si>
  <si>
    <t>ГУЛЬАИМ</t>
  </si>
  <si>
    <t>МЫРЗАБАЕВНА</t>
  </si>
  <si>
    <t>2019-01-14T00:00:00</t>
  </si>
  <si>
    <t>2019-01-18T00:00:00</t>
  </si>
  <si>
    <t>[3 класс, 5 класс, 7 класс]</t>
  </si>
  <si>
    <t>МАЦКЕВИЧ</t>
  </si>
  <si>
    <t>СЕРГЕЕВНА</t>
  </si>
  <si>
    <t>находится в декретном отпуске</t>
  </si>
  <si>
    <t>2017-07-11T00:00:00</t>
  </si>
  <si>
    <t>КАРИМОВА</t>
  </si>
  <si>
    <t>МЕЙРАМГУЛЬ</t>
  </si>
  <si>
    <t>МЕЙРАМОВНА</t>
  </si>
  <si>
    <t>Не проходил(а), Не проходил(а)</t>
  </si>
  <si>
    <t>РЫМЖАНОВА</t>
  </si>
  <si>
    <t>ЖУЛДЫЗ</t>
  </si>
  <si>
    <t>КАЗБЕКОВНА</t>
  </si>
  <si>
    <t>Подтверждено в 2017 году</t>
  </si>
  <si>
    <t>английский</t>
  </si>
  <si>
    <t>2017-06-25T00:00:00</t>
  </si>
  <si>
    <t>2017-07-17T00:00:00</t>
  </si>
  <si>
    <t>[1 класс, 2 класс, 8 класс]</t>
  </si>
  <si>
    <t>БОЛТАЕВ</t>
  </si>
  <si>
    <t>МАРАТ</t>
  </si>
  <si>
    <t>КЕШАЕВИЧ</t>
  </si>
  <si>
    <t>состав солдат (матросов)</t>
  </si>
  <si>
    <t>внешнее совмещение</t>
  </si>
  <si>
    <t>Другие организации , Другие организации , НАО «Холдинг Кәсіпқор», Другие организации , НАО «Холдинг Кәсіпқор», НАО «Холдинг Кәсіпқор»</t>
  </si>
  <si>
    <t>Физическая культура, другие, другие, Физическая культура, другие, другие</t>
  </si>
  <si>
    <t>В рамках обновленного содержания образования/ предмет, Предпринимательская деятельность и финансово-правовая грамотность, Другие программы, Обновленные и специальные образовательные программы технического и профессионального образования, Другие программы, Другие программы</t>
  </si>
  <si>
    <t>очная, очная, дистанционная, дистанционная, дистанционная, дистанционная</t>
  </si>
  <si>
    <t>русский, русский, русский, русский, русский, русский</t>
  </si>
  <si>
    <t>72, 80, 36, 80, 36, 36</t>
  </si>
  <si>
    <t>2018-01-08T00:00:00, 2019-08-19T00:00:00, 2020-08-17T15:45:00, 2020-11-09T00:00:00, 2020-05-25T00:00:00, 2020-05-25T00:00:00</t>
  </si>
  <si>
    <t>2018-01-19T00:00:00, 2019-08-30T00:00:00, 2020-08-21T15:45:00, 2020-11-20T00:00:00, 2020-06-02T00:00:00, 2020-06-02T00:00:00</t>
  </si>
  <si>
    <t>0008015, 000022, 12229, 000413, 08925, 08591</t>
  </si>
  <si>
    <t>[5 класс, 6 класс, 8 класс, 10 класс, 11 класс]</t>
  </si>
  <si>
    <t>ХАВДРАШ</t>
  </si>
  <si>
    <t>АВДЕЛЬ</t>
  </si>
  <si>
    <t>САЛЫКОВА</t>
  </si>
  <si>
    <t>ДИНА</t>
  </si>
  <si>
    <t>ТУЛИПЕРГЕНОВНА</t>
  </si>
  <si>
    <t>из другой школы</t>
  </si>
  <si>
    <t>заместитель директора по информатизации</t>
  </si>
  <si>
    <t>Не проходил(а), АО НЦПК «Өрлеу» (Региональные филиалы АО  НЦПК«Өрлеу»)</t>
  </si>
  <si>
    <t>null, Информатика</t>
  </si>
  <si>
    <t>null, Программирование, робототехника, 3D-принтинг и т. д.</t>
  </si>
  <si>
    <t>null, очная</t>
  </si>
  <si>
    <t>null, казахский</t>
  </si>
  <si>
    <t>null, 72</t>
  </si>
  <si>
    <t>null, 2017-10-22T00:00:00</t>
  </si>
  <si>
    <t>null, 2017-10-27T00:00:00</t>
  </si>
  <si>
    <t>null, №0146926</t>
  </si>
  <si>
    <t>ЖУМАНОВА</t>
  </si>
  <si>
    <t>КАРИНА</t>
  </si>
  <si>
    <t>АЛЬМАГАМБЕТОВНА</t>
  </si>
  <si>
    <t>магистр</t>
  </si>
  <si>
    <t>Послевузовское образование (магистр, доктор PhD)</t>
  </si>
  <si>
    <t>СТРУМИНСКАЯ</t>
  </si>
  <si>
    <t>АЛЛА</t>
  </si>
  <si>
    <t>Обновленное содержание обучения</t>
  </si>
  <si>
    <t>2017-07-03T12:21:00</t>
  </si>
  <si>
    <t>2019-07-11T00:00:00</t>
  </si>
  <si>
    <t>САГАДАТОВА</t>
  </si>
  <si>
    <t>ЛЕЙЛЯ</t>
  </si>
  <si>
    <t>МАРАТОВНА</t>
  </si>
  <si>
    <t>Башкиры</t>
  </si>
  <si>
    <t>2019-08-19T00:00:00</t>
  </si>
  <si>
    <t>2019-08-23T00:00:00</t>
  </si>
  <si>
    <t>223664ad</t>
  </si>
  <si>
    <t>[5 класс]</t>
  </si>
  <si>
    <t>ҚАЗЖАН</t>
  </si>
  <si>
    <t>ИНДИРА</t>
  </si>
  <si>
    <t>ҚАЙРАТҚЫЗЫ</t>
  </si>
  <si>
    <t>Учебно-воспитательный процесс</t>
  </si>
  <si>
    <t>2020-05-08T00:00:00</t>
  </si>
  <si>
    <t>2020-05-22T00:00:00</t>
  </si>
  <si>
    <t>[3 класс, 4 класс, 6 класс, 7 класс]</t>
  </si>
  <si>
    <t>Pre-Intermediate</t>
  </si>
  <si>
    <t>ИМАНМУСАЕВА</t>
  </si>
  <si>
    <t>ХАДИША</t>
  </si>
  <si>
    <t>БАЙЗИКЕНОВНА</t>
  </si>
  <si>
    <t>[5 класс, 7 класс]</t>
  </si>
  <si>
    <t>5.0 (B1-Intermediate)</t>
  </si>
  <si>
    <t>ТУРГАНБАЕВА</t>
  </si>
  <si>
    <t>АСЕМ</t>
  </si>
  <si>
    <t>АЗАТКЫЗЫ</t>
  </si>
  <si>
    <t>2018-06-05T00:00:00</t>
  </si>
  <si>
    <t>2018-06-25T00:00:00</t>
  </si>
  <si>
    <t>ДУЙСЕКЕНОВ</t>
  </si>
  <si>
    <t>АЙДЫН</t>
  </si>
  <si>
    <t>КАДЫРОВИЧ</t>
  </si>
  <si>
    <t>АРУЖАН</t>
  </si>
  <si>
    <t>ЖЕҢІСБЕКҚЫЗЫ</t>
  </si>
  <si>
    <t>данного района, города данной области</t>
  </si>
  <si>
    <t>МУЖЕБАЕВ</t>
  </si>
  <si>
    <t>КАНАТ</t>
  </si>
  <si>
    <t>САМАРКАНОВИЧ</t>
  </si>
  <si>
    <t>НВП</t>
  </si>
  <si>
    <t>[10 класс, 7 класс, 11 класс]</t>
  </si>
  <si>
    <t>МЫРЗАЖИГИТОВ</t>
  </si>
  <si>
    <t>МАДЫЛХАН</t>
  </si>
  <si>
    <t>САПАРОВИЧ</t>
  </si>
  <si>
    <t>[9 класс]</t>
  </si>
  <si>
    <t>БОГАТОВ</t>
  </si>
  <si>
    <t>АЛЕКСАНДР</t>
  </si>
  <si>
    <t>СЕРГЕЕВИЧ</t>
  </si>
  <si>
    <t>перешел на учительскую работу из других учреждений, организаций, не педагогов</t>
  </si>
  <si>
    <t>старший вожатый</t>
  </si>
  <si>
    <t>[8 класс]</t>
  </si>
  <si>
    <t>БОЖАНОВ</t>
  </si>
  <si>
    <t>БЕЙСЕН</t>
  </si>
  <si>
    <t>ОНГАРБАЕВИЧ</t>
  </si>
  <si>
    <t>ЖАНАЛИН</t>
  </si>
  <si>
    <t>ӘЛИХАН</t>
  </si>
  <si>
    <t>ӨСКЕНҰЛЫ</t>
  </si>
  <si>
    <t>ПАВЛЕНКО</t>
  </si>
  <si>
    <t>ЕКАТЕРИНА</t>
  </si>
  <si>
    <t>СЕРГИЕНКО</t>
  </si>
  <si>
    <t>КРИСТИНА</t>
  </si>
  <si>
    <t>Белорусы</t>
  </si>
  <si>
    <t>АЛТЫНБЕКОВА</t>
  </si>
  <si>
    <t>ЛАЗАТ</t>
  </si>
  <si>
    <t>РЫМБАЕВНА</t>
  </si>
  <si>
    <t>вахтер (на каждое здание)</t>
  </si>
  <si>
    <t>ИБАДУЛЛАЕВА</t>
  </si>
  <si>
    <t>АЙНУР</t>
  </si>
  <si>
    <t>ИБРАХИМОВНА</t>
  </si>
  <si>
    <t>[3 класс, 2 класс, 1 класс, 5 класс]</t>
  </si>
  <si>
    <t>КАСЕНОВА</t>
  </si>
  <si>
    <t>БАХИТЖАН</t>
  </si>
  <si>
    <t>ГОМАРОВНА</t>
  </si>
  <si>
    <t>2017-08-14T00:00:00</t>
  </si>
  <si>
    <t>2017-08-26T00:00:00</t>
  </si>
  <si>
    <t>БЖ№002716</t>
  </si>
  <si>
    <t>[8 класс, 9 класс]</t>
  </si>
  <si>
    <t>7.5 (C1-Advanced)</t>
  </si>
  <si>
    <t>СОЛОМАТОВ</t>
  </si>
  <si>
    <t>ГЕННАДИЙ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</si>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</sst>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2"/>
  <sheetViews>
    <sheetView tabSelected="1" workbookViewId="0"/>
  </sheetViews>
  <sheetFormatPr defaultRowHeight="14.4" x14ac:dyDescent="0.3"/>
  <sheetData>
    <row r="1" spans="1:9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3">
      <c r="A2">
        <v>185305</v>
      </c>
      <c r="B2">
        <v>159025</v>
      </c>
      <c r="C2" t="str">
        <f>"670110450118"</f>
        <v>670110450118</v>
      </c>
      <c r="D2" t="s">
        <v>95</v>
      </c>
      <c r="E2" t="s">
        <v>96</v>
      </c>
      <c r="F2" t="s">
        <v>97</v>
      </c>
      <c r="G2" s="1">
        <v>24482</v>
      </c>
      <c r="I2" t="s">
        <v>98</v>
      </c>
      <c r="J2" t="s">
        <v>99</v>
      </c>
      <c r="K2" t="s">
        <v>100</v>
      </c>
      <c r="P2" t="s">
        <v>101</v>
      </c>
      <c r="W2" t="str">
        <f>"2016-09-01T00:00:00"</f>
        <v>2016-09-01T00:00:00</v>
      </c>
      <c r="X2" t="str">
        <f>"№50"</f>
        <v>№50</v>
      </c>
      <c r="Z2" t="s">
        <v>102</v>
      </c>
      <c r="AA2" t="s">
        <v>103</v>
      </c>
      <c r="AE2" t="s">
        <v>104</v>
      </c>
      <c r="AF2" t="s">
        <v>105</v>
      </c>
      <c r="AG2">
        <v>0.5</v>
      </c>
      <c r="AH2" t="s">
        <v>106</v>
      </c>
      <c r="AI2" t="s">
        <v>107</v>
      </c>
      <c r="AJ2" t="s">
        <v>108</v>
      </c>
      <c r="AM2" t="s">
        <v>109</v>
      </c>
      <c r="AN2" t="s">
        <v>110</v>
      </c>
      <c r="AO2" t="str">
        <f>"29"</f>
        <v>29</v>
      </c>
      <c r="AP2" t="str">
        <f>"34"</f>
        <v>34</v>
      </c>
      <c r="AQ2" t="str">
        <f>"28"</f>
        <v>28</v>
      </c>
      <c r="AR2" t="str">
        <f>"28"</f>
        <v>28</v>
      </c>
      <c r="AS2" t="str">
        <f>"5"</f>
        <v>5</v>
      </c>
      <c r="AT2" t="str">
        <f>"zaida_alimova@mail.ru"</f>
        <v>zaida_alimova@mail.ru</v>
      </c>
      <c r="AU2" t="str">
        <f>"87772274011"</f>
        <v>87772274011</v>
      </c>
      <c r="AV2" t="s">
        <v>111</v>
      </c>
      <c r="AW2" t="s">
        <v>112</v>
      </c>
      <c r="AX2" t="s">
        <v>113</v>
      </c>
      <c r="AY2" t="s">
        <v>114</v>
      </c>
      <c r="AZ2" t="s">
        <v>115</v>
      </c>
      <c r="BA2">
        <v>1</v>
      </c>
      <c r="BB2" t="s">
        <v>116</v>
      </c>
      <c r="BC2">
        <v>0.5</v>
      </c>
      <c r="BD2" t="s">
        <v>117</v>
      </c>
      <c r="BE2">
        <v>0</v>
      </c>
      <c r="BF2" t="s">
        <v>118</v>
      </c>
      <c r="BG2" t="str">
        <f>"236006010066"</f>
        <v>236006010066</v>
      </c>
      <c r="BH2" t="s">
        <v>119</v>
      </c>
      <c r="BI2" t="s">
        <v>120</v>
      </c>
      <c r="BJ2" t="s">
        <v>121</v>
      </c>
      <c r="BK2" t="s">
        <v>122</v>
      </c>
      <c r="BM2" t="s">
        <v>123</v>
      </c>
      <c r="BN2" t="s">
        <v>114</v>
      </c>
      <c r="BO2" t="s">
        <v>124</v>
      </c>
      <c r="BP2" t="s">
        <v>125</v>
      </c>
      <c r="BQ2" t="s">
        <v>126</v>
      </c>
      <c r="BR2">
        <v>160</v>
      </c>
      <c r="BS2" t="s">
        <v>127</v>
      </c>
      <c r="BT2" t="s">
        <v>128</v>
      </c>
      <c r="BU2">
        <v>127</v>
      </c>
      <c r="BV2" t="s">
        <v>117</v>
      </c>
      <c r="BW2" t="s">
        <v>129</v>
      </c>
      <c r="CA2" t="str">
        <f>"0"</f>
        <v>0</v>
      </c>
      <c r="CD2" t="s">
        <v>121</v>
      </c>
      <c r="CF2" t="s">
        <v>130</v>
      </c>
      <c r="CG2" t="s">
        <v>110</v>
      </c>
    </row>
    <row r="3" spans="1:95" x14ac:dyDescent="0.3">
      <c r="A3">
        <v>185312</v>
      </c>
      <c r="B3">
        <v>159030</v>
      </c>
      <c r="C3" t="str">
        <f>"700404401790"</f>
        <v>700404401790</v>
      </c>
      <c r="D3" t="s">
        <v>131</v>
      </c>
      <c r="E3" t="s">
        <v>132</v>
      </c>
      <c r="F3" t="s">
        <v>133</v>
      </c>
      <c r="G3" s="1">
        <v>25662</v>
      </c>
      <c r="I3" t="s">
        <v>98</v>
      </c>
      <c r="J3" t="s">
        <v>99</v>
      </c>
      <c r="K3" t="s">
        <v>100</v>
      </c>
      <c r="P3" t="s">
        <v>101</v>
      </c>
      <c r="W3" t="str">
        <f>"2016-09-01T00:00:00"</f>
        <v>2016-09-01T00:00:00</v>
      </c>
      <c r="X3" t="str">
        <f>"№52"</f>
        <v>№52</v>
      </c>
      <c r="Z3" t="s">
        <v>134</v>
      </c>
      <c r="AA3" t="s">
        <v>135</v>
      </c>
      <c r="AE3" t="s">
        <v>104</v>
      </c>
      <c r="AF3" t="s">
        <v>105</v>
      </c>
      <c r="AG3">
        <v>1.4</v>
      </c>
      <c r="AH3" t="s">
        <v>106</v>
      </c>
      <c r="AI3" t="s">
        <v>107</v>
      </c>
      <c r="AJ3" t="s">
        <v>108</v>
      </c>
      <c r="AM3" t="s">
        <v>109</v>
      </c>
      <c r="AN3" t="s">
        <v>110</v>
      </c>
      <c r="AO3" t="str">
        <f>"17"</f>
        <v>17</v>
      </c>
      <c r="AP3" t="str">
        <f>"22"</f>
        <v>22</v>
      </c>
      <c r="AQ3" t="str">
        <f>"16"</f>
        <v>16</v>
      </c>
      <c r="AR3" t="str">
        <f>"16"</f>
        <v>16</v>
      </c>
      <c r="AS3" t="str">
        <f>"5"</f>
        <v>5</v>
      </c>
      <c r="AT3" t="str">
        <f>"aliaskarova.gulnara@mail.ru"</f>
        <v>aliaskarova.gulnara@mail.ru</v>
      </c>
      <c r="AU3" t="str">
        <f>"87017290270"</f>
        <v>87017290270</v>
      </c>
      <c r="AV3" t="s">
        <v>136</v>
      </c>
      <c r="AW3" t="s">
        <v>137</v>
      </c>
      <c r="AX3" t="s">
        <v>113</v>
      </c>
      <c r="AY3" t="s">
        <v>114</v>
      </c>
      <c r="AZ3" t="s">
        <v>115</v>
      </c>
      <c r="BA3">
        <v>1.4</v>
      </c>
      <c r="BB3" t="s">
        <v>110</v>
      </c>
      <c r="BC3">
        <v>0</v>
      </c>
      <c r="BF3" t="s">
        <v>138</v>
      </c>
      <c r="BG3" t="str">
        <f>"236006010373"</f>
        <v>236006010373</v>
      </c>
      <c r="BH3" t="s">
        <v>119</v>
      </c>
      <c r="BI3" t="s">
        <v>120</v>
      </c>
      <c r="BJ3" t="s">
        <v>121</v>
      </c>
      <c r="BK3" t="s">
        <v>122</v>
      </c>
      <c r="BM3" t="s">
        <v>123</v>
      </c>
      <c r="BN3" t="s">
        <v>114</v>
      </c>
      <c r="BO3" t="s">
        <v>124</v>
      </c>
      <c r="BP3" t="s">
        <v>125</v>
      </c>
      <c r="BQ3" t="s">
        <v>126</v>
      </c>
      <c r="BR3">
        <v>160</v>
      </c>
      <c r="BS3" t="s">
        <v>139</v>
      </c>
      <c r="BT3" t="s">
        <v>140</v>
      </c>
      <c r="BU3">
        <v>2</v>
      </c>
      <c r="BV3" t="s">
        <v>117</v>
      </c>
      <c r="BW3" t="s">
        <v>141</v>
      </c>
      <c r="BX3" s="2">
        <v>44652</v>
      </c>
      <c r="CA3" t="str">
        <f>"0"</f>
        <v>0</v>
      </c>
      <c r="CD3" t="s">
        <v>142</v>
      </c>
      <c r="CF3" t="s">
        <v>130</v>
      </c>
      <c r="CG3" t="s">
        <v>110</v>
      </c>
    </row>
    <row r="4" spans="1:95" x14ac:dyDescent="0.3">
      <c r="A4">
        <v>185331</v>
      </c>
      <c r="B4">
        <v>159041</v>
      </c>
      <c r="C4" t="str">
        <f>"740611450018"</f>
        <v>740611450018</v>
      </c>
      <c r="D4" t="s">
        <v>143</v>
      </c>
      <c r="E4" t="s">
        <v>144</v>
      </c>
      <c r="F4" t="s">
        <v>145</v>
      </c>
      <c r="G4" s="1">
        <v>27191</v>
      </c>
      <c r="I4" t="s">
        <v>98</v>
      </c>
      <c r="J4" t="s">
        <v>99</v>
      </c>
      <c r="K4" t="s">
        <v>100</v>
      </c>
      <c r="P4" t="s">
        <v>146</v>
      </c>
      <c r="W4" t="str">
        <f>"2016-10-01T00:00:00"</f>
        <v>2016-10-01T00:00:00</v>
      </c>
      <c r="X4" t="str">
        <f>"№61"</f>
        <v>№61</v>
      </c>
      <c r="Z4" t="s">
        <v>147</v>
      </c>
      <c r="AA4" t="s">
        <v>135</v>
      </c>
      <c r="AE4" t="s">
        <v>104</v>
      </c>
      <c r="AF4" t="s">
        <v>105</v>
      </c>
      <c r="AG4">
        <v>1</v>
      </c>
      <c r="AH4" t="s">
        <v>106</v>
      </c>
      <c r="AI4" t="s">
        <v>107</v>
      </c>
      <c r="AJ4" t="s">
        <v>108</v>
      </c>
      <c r="AM4" t="s">
        <v>109</v>
      </c>
      <c r="AN4" t="s">
        <v>110</v>
      </c>
      <c r="AO4" t="str">
        <f>"22"</f>
        <v>22</v>
      </c>
      <c r="AP4" t="str">
        <f>"27"</f>
        <v>27</v>
      </c>
      <c r="AQ4" t="str">
        <f>"20"</f>
        <v>20</v>
      </c>
      <c r="AR4" t="str">
        <f>"20"</f>
        <v>20</v>
      </c>
      <c r="AS4" t="str">
        <f>"5"</f>
        <v>5</v>
      </c>
      <c r="AT4" t="str">
        <f>"dyusekeeva1106@mail.ru"</f>
        <v>dyusekeeva1106@mail.ru</v>
      </c>
      <c r="AU4" t="str">
        <f>"87054232740"</f>
        <v>87054232740</v>
      </c>
      <c r="AV4" t="s">
        <v>136</v>
      </c>
      <c r="AW4" t="s">
        <v>148</v>
      </c>
      <c r="AX4" t="s">
        <v>113</v>
      </c>
      <c r="AY4" t="s">
        <v>149</v>
      </c>
      <c r="AZ4" t="s">
        <v>115</v>
      </c>
      <c r="BA4">
        <v>1</v>
      </c>
      <c r="BB4" t="s">
        <v>105</v>
      </c>
      <c r="BC4">
        <v>0.3</v>
      </c>
      <c r="BD4" t="s">
        <v>150</v>
      </c>
      <c r="BE4">
        <v>0.3</v>
      </c>
      <c r="BF4" t="s">
        <v>138</v>
      </c>
      <c r="BG4" t="str">
        <f>"236006010355"</f>
        <v>236006010355</v>
      </c>
      <c r="BH4" t="s">
        <v>119</v>
      </c>
      <c r="BI4" t="s">
        <v>120</v>
      </c>
      <c r="BJ4" t="s">
        <v>121</v>
      </c>
      <c r="BK4" t="s">
        <v>122</v>
      </c>
      <c r="BM4" t="s">
        <v>151</v>
      </c>
      <c r="BN4" t="s">
        <v>152</v>
      </c>
      <c r="BO4" t="s">
        <v>153</v>
      </c>
      <c r="BP4" t="s">
        <v>154</v>
      </c>
      <c r="BQ4" t="s">
        <v>155</v>
      </c>
      <c r="BR4" t="s">
        <v>156</v>
      </c>
      <c r="BS4" t="s">
        <v>157</v>
      </c>
      <c r="BT4" t="s">
        <v>158</v>
      </c>
      <c r="BU4" t="s">
        <v>159</v>
      </c>
      <c r="BV4" t="s">
        <v>160</v>
      </c>
      <c r="BW4" t="s">
        <v>161</v>
      </c>
      <c r="BX4" t="s">
        <v>162</v>
      </c>
      <c r="CA4" t="str">
        <f>"1"</f>
        <v>1</v>
      </c>
      <c r="CD4" t="s">
        <v>121</v>
      </c>
      <c r="CF4" t="s">
        <v>163</v>
      </c>
      <c r="CG4" t="s">
        <v>110</v>
      </c>
    </row>
    <row r="5" spans="1:95" x14ac:dyDescent="0.3">
      <c r="A5">
        <v>185354</v>
      </c>
      <c r="B5">
        <v>159060</v>
      </c>
      <c r="C5" t="str">
        <f>"730720402574"</f>
        <v>730720402574</v>
      </c>
      <c r="D5" t="s">
        <v>164</v>
      </c>
      <c r="E5" t="s">
        <v>165</v>
      </c>
      <c r="F5" t="s">
        <v>166</v>
      </c>
      <c r="G5" s="1">
        <v>26865</v>
      </c>
      <c r="I5" t="s">
        <v>98</v>
      </c>
      <c r="J5" t="s">
        <v>99</v>
      </c>
      <c r="K5" t="s">
        <v>100</v>
      </c>
      <c r="P5" t="s">
        <v>146</v>
      </c>
      <c r="W5" t="str">
        <f>"2017-09-02T00:00:00"</f>
        <v>2017-09-02T00:00:00</v>
      </c>
      <c r="X5" t="str">
        <f>"№55"</f>
        <v>№55</v>
      </c>
      <c r="Z5" t="s">
        <v>134</v>
      </c>
      <c r="AA5" t="s">
        <v>103</v>
      </c>
      <c r="AE5" t="s">
        <v>104</v>
      </c>
      <c r="AF5" t="s">
        <v>167</v>
      </c>
      <c r="AG5">
        <v>1</v>
      </c>
      <c r="AH5" t="s">
        <v>106</v>
      </c>
      <c r="AI5" t="s">
        <v>107</v>
      </c>
      <c r="AJ5" t="s">
        <v>108</v>
      </c>
      <c r="AM5" t="s">
        <v>109</v>
      </c>
      <c r="AN5" t="s">
        <v>110</v>
      </c>
      <c r="AO5" t="str">
        <f>"2"</f>
        <v>2</v>
      </c>
      <c r="AP5" t="str">
        <f>"6"</f>
        <v>6</v>
      </c>
      <c r="AQ5" t="str">
        <f>"5"</f>
        <v>5</v>
      </c>
      <c r="AR5" t="str">
        <f>"5"</f>
        <v>5</v>
      </c>
      <c r="AS5" t="str">
        <f>"4"</f>
        <v>4</v>
      </c>
      <c r="AT5" t="str">
        <f>"madina.musina73@mail.com"</f>
        <v>madina.musina73@mail.com</v>
      </c>
      <c r="AU5" t="str">
        <f>"87779657942"</f>
        <v>87779657942</v>
      </c>
      <c r="AV5" t="s">
        <v>168</v>
      </c>
      <c r="AW5" t="s">
        <v>137</v>
      </c>
      <c r="AX5" t="s">
        <v>113</v>
      </c>
      <c r="AY5" t="s">
        <v>169</v>
      </c>
      <c r="AZ5" t="s">
        <v>115</v>
      </c>
      <c r="BA5">
        <v>1</v>
      </c>
      <c r="BB5" t="s">
        <v>170</v>
      </c>
      <c r="BC5">
        <v>0.5</v>
      </c>
      <c r="BF5" t="s">
        <v>118</v>
      </c>
      <c r="BG5" t="str">
        <f>"236006010069"</f>
        <v>236006010069</v>
      </c>
      <c r="BH5" t="s">
        <v>119</v>
      </c>
      <c r="BI5" t="s">
        <v>120</v>
      </c>
      <c r="BJ5" t="s">
        <v>121</v>
      </c>
      <c r="BK5" t="s">
        <v>122</v>
      </c>
      <c r="BM5" t="s">
        <v>171</v>
      </c>
      <c r="BN5" t="s">
        <v>172</v>
      </c>
      <c r="BO5" t="s">
        <v>173</v>
      </c>
      <c r="BP5" t="s">
        <v>174</v>
      </c>
      <c r="BQ5" t="s">
        <v>175</v>
      </c>
      <c r="BR5" t="s">
        <v>176</v>
      </c>
      <c r="BS5" t="s">
        <v>177</v>
      </c>
      <c r="BT5" t="s">
        <v>178</v>
      </c>
      <c r="BU5" t="s">
        <v>179</v>
      </c>
      <c r="BV5" t="s">
        <v>117</v>
      </c>
      <c r="BW5" t="s">
        <v>180</v>
      </c>
      <c r="BX5" s="2">
        <v>44652</v>
      </c>
      <c r="CA5" t="str">
        <f>"0"</f>
        <v>0</v>
      </c>
      <c r="CD5" t="s">
        <v>121</v>
      </c>
      <c r="CF5" t="s">
        <v>181</v>
      </c>
      <c r="CG5" t="s">
        <v>110</v>
      </c>
    </row>
    <row r="6" spans="1:95" x14ac:dyDescent="0.3">
      <c r="A6">
        <v>185357</v>
      </c>
      <c r="B6">
        <v>159062</v>
      </c>
      <c r="C6" t="str">
        <f>"780915450137"</f>
        <v>780915450137</v>
      </c>
      <c r="D6" t="s">
        <v>182</v>
      </c>
      <c r="E6" t="s">
        <v>183</v>
      </c>
      <c r="F6" t="s">
        <v>184</v>
      </c>
      <c r="G6" s="1">
        <v>28748</v>
      </c>
      <c r="I6" t="s">
        <v>98</v>
      </c>
      <c r="J6" t="s">
        <v>99</v>
      </c>
      <c r="K6" t="s">
        <v>100</v>
      </c>
      <c r="P6" t="s">
        <v>146</v>
      </c>
      <c r="Q6" t="s">
        <v>142</v>
      </c>
      <c r="W6" t="str">
        <f>"2018-09-01T00:00:00"</f>
        <v>2018-09-01T00:00:00</v>
      </c>
      <c r="X6" t="str">
        <f>"№70"</f>
        <v>№70</v>
      </c>
      <c r="Z6" t="s">
        <v>147</v>
      </c>
      <c r="AA6" t="s">
        <v>103</v>
      </c>
      <c r="AE6" t="s">
        <v>104</v>
      </c>
      <c r="AF6" t="s">
        <v>167</v>
      </c>
      <c r="AG6">
        <v>1</v>
      </c>
      <c r="AH6" t="s">
        <v>106</v>
      </c>
      <c r="AI6" t="s">
        <v>107</v>
      </c>
      <c r="AJ6" t="s">
        <v>185</v>
      </c>
      <c r="AM6" t="s">
        <v>109</v>
      </c>
      <c r="AN6" t="s">
        <v>110</v>
      </c>
      <c r="AO6" t="str">
        <f>"1"</f>
        <v>1</v>
      </c>
      <c r="AP6" t="str">
        <f>"4"</f>
        <v>4</v>
      </c>
      <c r="AQ6" t="str">
        <f>"3"</f>
        <v>3</v>
      </c>
      <c r="AR6" t="str">
        <f>"3"</f>
        <v>3</v>
      </c>
      <c r="AS6" t="str">
        <f>"3"</f>
        <v>3</v>
      </c>
      <c r="AT6" t="str">
        <f>"bizhanova.lyazzat@mail.ru"</f>
        <v>bizhanova.lyazzat@mail.ru</v>
      </c>
      <c r="AU6" t="str">
        <f>"87023677825"</f>
        <v>87023677825</v>
      </c>
      <c r="AV6" t="s">
        <v>136</v>
      </c>
      <c r="AW6" t="s">
        <v>186</v>
      </c>
      <c r="AX6" t="s">
        <v>113</v>
      </c>
      <c r="AY6" t="s">
        <v>169</v>
      </c>
      <c r="AZ6" t="s">
        <v>187</v>
      </c>
      <c r="BA6">
        <v>1</v>
      </c>
      <c r="BB6" t="s">
        <v>170</v>
      </c>
      <c r="BC6">
        <v>0.5</v>
      </c>
      <c r="BF6" t="s">
        <v>138</v>
      </c>
      <c r="BG6" t="str">
        <f>"236006010375"</f>
        <v>236006010375</v>
      </c>
      <c r="BH6" t="s">
        <v>119</v>
      </c>
      <c r="BI6" t="s">
        <v>120</v>
      </c>
      <c r="BJ6" t="s">
        <v>121</v>
      </c>
      <c r="BK6" t="s">
        <v>122</v>
      </c>
      <c r="BM6" t="s">
        <v>188</v>
      </c>
      <c r="BN6" t="s">
        <v>189</v>
      </c>
      <c r="BO6" t="s">
        <v>190</v>
      </c>
      <c r="BP6" t="s">
        <v>191</v>
      </c>
      <c r="BQ6" t="s">
        <v>192</v>
      </c>
      <c r="BR6" t="s">
        <v>193</v>
      </c>
      <c r="BS6" t="s">
        <v>194</v>
      </c>
      <c r="BT6" t="s">
        <v>195</v>
      </c>
      <c r="BU6" t="s">
        <v>196</v>
      </c>
      <c r="BV6" t="s">
        <v>117</v>
      </c>
      <c r="BW6" t="s">
        <v>180</v>
      </c>
      <c r="BX6" s="2">
        <v>44652</v>
      </c>
      <c r="CA6" t="str">
        <f>"0"</f>
        <v>0</v>
      </c>
      <c r="CD6" t="s">
        <v>121</v>
      </c>
      <c r="CF6" t="s">
        <v>181</v>
      </c>
      <c r="CG6" t="s">
        <v>110</v>
      </c>
    </row>
    <row r="7" spans="1:95" x14ac:dyDescent="0.3">
      <c r="A7">
        <v>185376</v>
      </c>
      <c r="B7">
        <v>159075</v>
      </c>
      <c r="C7" t="str">
        <f>"671107300548"</f>
        <v>671107300548</v>
      </c>
      <c r="D7" t="s">
        <v>197</v>
      </c>
      <c r="E7" t="s">
        <v>198</v>
      </c>
      <c r="F7" t="s">
        <v>199</v>
      </c>
      <c r="G7" s="1">
        <v>24783</v>
      </c>
      <c r="I7" t="s">
        <v>200</v>
      </c>
      <c r="J7" t="s">
        <v>99</v>
      </c>
      <c r="K7" t="s">
        <v>100</v>
      </c>
      <c r="P7" t="s">
        <v>201</v>
      </c>
      <c r="W7" t="str">
        <f>"2018-08-01T00:00:00"</f>
        <v>2018-08-01T00:00:00</v>
      </c>
      <c r="X7" t="str">
        <f>"№61"</f>
        <v>№61</v>
      </c>
      <c r="Z7" t="s">
        <v>202</v>
      </c>
      <c r="AA7" t="s">
        <v>135</v>
      </c>
      <c r="AE7" t="s">
        <v>104</v>
      </c>
      <c r="AF7" t="s">
        <v>203</v>
      </c>
      <c r="AG7">
        <v>1</v>
      </c>
      <c r="AH7" t="s">
        <v>106</v>
      </c>
      <c r="AI7" t="s">
        <v>107</v>
      </c>
      <c r="AJ7" t="s">
        <v>204</v>
      </c>
      <c r="AM7" t="s">
        <v>205</v>
      </c>
      <c r="AO7" t="str">
        <f>"22"</f>
        <v>22</v>
      </c>
      <c r="AP7" t="str">
        <f>"25"</f>
        <v>25</v>
      </c>
      <c r="AR7" t="str">
        <f>"0"</f>
        <v>0</v>
      </c>
      <c r="AS7" t="str">
        <f>"3"</f>
        <v>3</v>
      </c>
      <c r="AX7" t="s">
        <v>129</v>
      </c>
      <c r="BB7" t="s">
        <v>110</v>
      </c>
      <c r="BC7">
        <v>0</v>
      </c>
      <c r="BW7" t="s">
        <v>129</v>
      </c>
    </row>
    <row r="8" spans="1:95" x14ac:dyDescent="0.3">
      <c r="A8">
        <v>185379</v>
      </c>
      <c r="B8">
        <v>159078</v>
      </c>
      <c r="C8" t="str">
        <f>"831202450571"</f>
        <v>831202450571</v>
      </c>
      <c r="D8" t="s">
        <v>206</v>
      </c>
      <c r="E8" t="s">
        <v>207</v>
      </c>
      <c r="F8" t="s">
        <v>208</v>
      </c>
      <c r="G8" s="1">
        <v>30652</v>
      </c>
      <c r="I8" t="s">
        <v>98</v>
      </c>
      <c r="J8" t="s">
        <v>99</v>
      </c>
      <c r="K8" t="s">
        <v>209</v>
      </c>
      <c r="P8" t="s">
        <v>146</v>
      </c>
      <c r="Q8" t="s">
        <v>142</v>
      </c>
      <c r="W8" t="str">
        <f>"2018-09-01T00:00:00"</f>
        <v>2018-09-01T00:00:00</v>
      </c>
      <c r="X8" t="str">
        <f>"№71"</f>
        <v>№71</v>
      </c>
      <c r="Z8" t="s">
        <v>147</v>
      </c>
      <c r="AA8" t="s">
        <v>103</v>
      </c>
      <c r="AE8" t="s">
        <v>104</v>
      </c>
      <c r="AF8" t="s">
        <v>105</v>
      </c>
      <c r="AG8">
        <v>1</v>
      </c>
      <c r="AH8" t="s">
        <v>106</v>
      </c>
      <c r="AI8" t="s">
        <v>107</v>
      </c>
      <c r="AJ8" t="s">
        <v>108</v>
      </c>
      <c r="AM8" t="s">
        <v>109</v>
      </c>
      <c r="AN8" t="s">
        <v>110</v>
      </c>
      <c r="AO8" t="str">
        <f>"0"</f>
        <v>0</v>
      </c>
      <c r="AP8" t="str">
        <f>"3"</f>
        <v>3</v>
      </c>
      <c r="AQ8" t="str">
        <f>"2"</f>
        <v>2</v>
      </c>
      <c r="AR8" t="str">
        <f>"2"</f>
        <v>2</v>
      </c>
      <c r="AS8" t="str">
        <f>"3"</f>
        <v>3</v>
      </c>
      <c r="AT8" t="str">
        <f>"galina.s212@gmail.com"</f>
        <v>galina.s212@gmail.com</v>
      </c>
      <c r="AU8" t="str">
        <f>"87718306923"</f>
        <v>87718306923</v>
      </c>
      <c r="AV8" t="s">
        <v>168</v>
      </c>
      <c r="AW8" t="s">
        <v>137</v>
      </c>
      <c r="AX8" t="s">
        <v>113</v>
      </c>
      <c r="AY8" t="s">
        <v>150</v>
      </c>
      <c r="AZ8" t="s">
        <v>115</v>
      </c>
      <c r="BA8">
        <v>0.3</v>
      </c>
      <c r="BB8" t="s">
        <v>210</v>
      </c>
      <c r="BC8">
        <v>0.5</v>
      </c>
      <c r="BD8" t="s">
        <v>117</v>
      </c>
      <c r="BE8">
        <v>0</v>
      </c>
      <c r="BF8" t="s">
        <v>138</v>
      </c>
      <c r="BG8" t="str">
        <f>"23600601037"</f>
        <v>23600601037</v>
      </c>
      <c r="BH8" t="s">
        <v>119</v>
      </c>
      <c r="BI8" t="s">
        <v>120</v>
      </c>
      <c r="BJ8" t="s">
        <v>121</v>
      </c>
      <c r="BK8" t="s">
        <v>122</v>
      </c>
      <c r="BM8" t="s">
        <v>211</v>
      </c>
      <c r="BN8" t="s">
        <v>212</v>
      </c>
      <c r="BO8" t="s">
        <v>213</v>
      </c>
      <c r="BP8" t="s">
        <v>174</v>
      </c>
      <c r="BQ8" t="s">
        <v>175</v>
      </c>
      <c r="BR8" t="s">
        <v>214</v>
      </c>
      <c r="BS8" t="s">
        <v>215</v>
      </c>
      <c r="BT8" t="s">
        <v>216</v>
      </c>
      <c r="BU8" t="s">
        <v>217</v>
      </c>
      <c r="BV8" t="s">
        <v>117</v>
      </c>
      <c r="BW8" t="s">
        <v>129</v>
      </c>
      <c r="CA8" t="str">
        <f>"0"</f>
        <v>0</v>
      </c>
      <c r="CD8" t="s">
        <v>142</v>
      </c>
      <c r="CF8" t="s">
        <v>181</v>
      </c>
      <c r="CG8" t="s">
        <v>110</v>
      </c>
    </row>
    <row r="9" spans="1:95" x14ac:dyDescent="0.3">
      <c r="A9">
        <v>185391</v>
      </c>
      <c r="B9">
        <v>159088</v>
      </c>
      <c r="C9" t="str">
        <f>"940810350263"</f>
        <v>940810350263</v>
      </c>
      <c r="D9" t="s">
        <v>218</v>
      </c>
      <c r="E9" t="s">
        <v>219</v>
      </c>
      <c r="F9" t="s">
        <v>220</v>
      </c>
      <c r="G9" s="1">
        <v>34556</v>
      </c>
      <c r="I9" t="s">
        <v>200</v>
      </c>
      <c r="J9" t="s">
        <v>99</v>
      </c>
      <c r="K9" t="s">
        <v>100</v>
      </c>
      <c r="P9" t="s">
        <v>146</v>
      </c>
      <c r="W9" t="str">
        <f>"2018-05-02T00:00:00"</f>
        <v>2018-05-02T00:00:00</v>
      </c>
      <c r="X9" t="str">
        <f>"№42"</f>
        <v>№42</v>
      </c>
      <c r="Z9" t="s">
        <v>202</v>
      </c>
      <c r="AA9" t="s">
        <v>135</v>
      </c>
      <c r="AE9" t="s">
        <v>104</v>
      </c>
      <c r="AF9" t="s">
        <v>221</v>
      </c>
      <c r="AG9">
        <v>0.5</v>
      </c>
      <c r="AH9" t="s">
        <v>106</v>
      </c>
      <c r="AI9" t="s">
        <v>107</v>
      </c>
      <c r="AJ9" t="s">
        <v>204</v>
      </c>
      <c r="AM9" t="s">
        <v>205</v>
      </c>
      <c r="AO9" t="str">
        <f>"0"</f>
        <v>0</v>
      </c>
      <c r="AP9" t="str">
        <f>"3"</f>
        <v>3</v>
      </c>
      <c r="AR9" t="str">
        <f>"0"</f>
        <v>0</v>
      </c>
      <c r="AS9" t="str">
        <f>"3"</f>
        <v>3</v>
      </c>
      <c r="AX9" t="s">
        <v>129</v>
      </c>
      <c r="BB9" t="s">
        <v>110</v>
      </c>
      <c r="BC9">
        <v>0</v>
      </c>
      <c r="BW9" t="s">
        <v>129</v>
      </c>
    </row>
    <row r="10" spans="1:95" x14ac:dyDescent="0.3">
      <c r="A10">
        <v>185395</v>
      </c>
      <c r="B10">
        <v>159092</v>
      </c>
      <c r="C10" t="str">
        <f>"750225401023"</f>
        <v>750225401023</v>
      </c>
      <c r="D10" t="s">
        <v>222</v>
      </c>
      <c r="E10" t="s">
        <v>223</v>
      </c>
      <c r="F10" t="s">
        <v>224</v>
      </c>
      <c r="G10" s="1">
        <v>27450</v>
      </c>
      <c r="I10" t="s">
        <v>98</v>
      </c>
      <c r="J10" t="s">
        <v>99</v>
      </c>
      <c r="K10" t="s">
        <v>100</v>
      </c>
      <c r="P10" t="s">
        <v>146</v>
      </c>
      <c r="W10" t="str">
        <f>"2014-08-27T00:00:00"</f>
        <v>2014-08-27T00:00:00</v>
      </c>
      <c r="X10" t="str">
        <f>"№79"</f>
        <v>№79</v>
      </c>
      <c r="Z10" t="s">
        <v>134</v>
      </c>
      <c r="AA10" t="s">
        <v>135</v>
      </c>
      <c r="AE10" t="s">
        <v>104</v>
      </c>
      <c r="AF10" t="s">
        <v>225</v>
      </c>
      <c r="AG10">
        <v>1</v>
      </c>
      <c r="AH10" t="s">
        <v>106</v>
      </c>
      <c r="AI10" t="s">
        <v>107</v>
      </c>
      <c r="AJ10" t="s">
        <v>108</v>
      </c>
      <c r="AM10" t="s">
        <v>109</v>
      </c>
      <c r="AN10" t="s">
        <v>110</v>
      </c>
      <c r="AO10" t="str">
        <f>"17"</f>
        <v>17</v>
      </c>
      <c r="AP10" t="str">
        <f>"24"</f>
        <v>24</v>
      </c>
      <c r="AQ10" t="str">
        <f>"23"</f>
        <v>23</v>
      </c>
      <c r="AR10" t="str">
        <f>"23"</f>
        <v>23</v>
      </c>
      <c r="AS10" t="str">
        <f>"7"</f>
        <v>7</v>
      </c>
      <c r="AT10" t="str">
        <f>"marzhan.zhusupova.75@mail.ru"</f>
        <v>marzhan.zhusupova.75@mail.ru</v>
      </c>
      <c r="AU10" t="str">
        <f>"87014643862"</f>
        <v>87014643862</v>
      </c>
      <c r="AV10" t="s">
        <v>111</v>
      </c>
      <c r="AW10" t="s">
        <v>112</v>
      </c>
      <c r="AX10" t="s">
        <v>113</v>
      </c>
      <c r="AY10" t="s">
        <v>114</v>
      </c>
      <c r="AZ10" t="s">
        <v>226</v>
      </c>
      <c r="BA10">
        <v>0.5</v>
      </c>
      <c r="BF10" t="s">
        <v>138</v>
      </c>
      <c r="BG10" t="str">
        <f>"236006010362"</f>
        <v>236006010362</v>
      </c>
      <c r="BH10" t="s">
        <v>119</v>
      </c>
      <c r="BI10" t="s">
        <v>120</v>
      </c>
      <c r="BJ10" t="s">
        <v>121</v>
      </c>
      <c r="BK10" t="s">
        <v>122</v>
      </c>
      <c r="BM10" t="s">
        <v>123</v>
      </c>
      <c r="BN10" t="s">
        <v>114</v>
      </c>
      <c r="BO10" t="s">
        <v>124</v>
      </c>
      <c r="BP10" t="s">
        <v>125</v>
      </c>
      <c r="BQ10" t="s">
        <v>126</v>
      </c>
      <c r="BR10">
        <v>120</v>
      </c>
      <c r="BS10" t="s">
        <v>227</v>
      </c>
      <c r="BT10" t="s">
        <v>228</v>
      </c>
      <c r="BU10">
        <v>3829</v>
      </c>
      <c r="BV10" t="s">
        <v>117</v>
      </c>
      <c r="BW10" t="s">
        <v>229</v>
      </c>
      <c r="BX10" t="s">
        <v>162</v>
      </c>
      <c r="CA10" t="str">
        <f>"0"</f>
        <v>0</v>
      </c>
      <c r="CD10" t="s">
        <v>142</v>
      </c>
      <c r="CF10" t="s">
        <v>130</v>
      </c>
      <c r="CG10" t="s">
        <v>110</v>
      </c>
    </row>
    <row r="11" spans="1:95" x14ac:dyDescent="0.3">
      <c r="A11">
        <v>185402</v>
      </c>
      <c r="B11">
        <v>159097</v>
      </c>
      <c r="C11" t="str">
        <f>"770817401114"</f>
        <v>770817401114</v>
      </c>
      <c r="D11" t="s">
        <v>230</v>
      </c>
      <c r="E11" t="s">
        <v>231</v>
      </c>
      <c r="F11" t="s">
        <v>232</v>
      </c>
      <c r="G11" s="1">
        <v>28354</v>
      </c>
      <c r="I11" t="s">
        <v>98</v>
      </c>
      <c r="J11" t="s">
        <v>99</v>
      </c>
      <c r="K11" t="s">
        <v>100</v>
      </c>
      <c r="P11" t="s">
        <v>101</v>
      </c>
      <c r="W11" t="str">
        <f>"2018-09-01T00:00:00"</f>
        <v>2018-09-01T00:00:00</v>
      </c>
      <c r="X11" t="str">
        <f>"№72"</f>
        <v>№72</v>
      </c>
      <c r="Z11" t="s">
        <v>147</v>
      </c>
      <c r="AA11" t="s">
        <v>135</v>
      </c>
      <c r="AE11" t="s">
        <v>104</v>
      </c>
      <c r="AF11" t="s">
        <v>167</v>
      </c>
      <c r="AG11">
        <v>1</v>
      </c>
      <c r="AH11" t="s">
        <v>106</v>
      </c>
      <c r="AI11" t="s">
        <v>107</v>
      </c>
      <c r="AJ11" t="s">
        <v>108</v>
      </c>
      <c r="AM11" t="s">
        <v>109</v>
      </c>
      <c r="AN11" t="s">
        <v>110</v>
      </c>
      <c r="AO11" t="str">
        <f>"7"</f>
        <v>7</v>
      </c>
      <c r="AP11" t="str">
        <f>"10"</f>
        <v>10</v>
      </c>
      <c r="AQ11" t="str">
        <f>"9"</f>
        <v>9</v>
      </c>
      <c r="AR11" t="str">
        <f>"9"</f>
        <v>9</v>
      </c>
      <c r="AS11" t="str">
        <f>"3"</f>
        <v>3</v>
      </c>
      <c r="AT11" t="str">
        <f>"zhanna.bekenova.77@mail.ru"</f>
        <v>zhanna.bekenova.77@mail.ru</v>
      </c>
      <c r="AU11" t="str">
        <f>"87023092684"</f>
        <v>87023092684</v>
      </c>
      <c r="AV11" t="s">
        <v>136</v>
      </c>
      <c r="AW11" t="s">
        <v>148</v>
      </c>
      <c r="AX11" t="s">
        <v>113</v>
      </c>
      <c r="AY11" t="s">
        <v>169</v>
      </c>
      <c r="AZ11" t="s">
        <v>115</v>
      </c>
      <c r="BA11">
        <v>0.5</v>
      </c>
      <c r="BB11" t="s">
        <v>105</v>
      </c>
      <c r="BC11">
        <v>1</v>
      </c>
      <c r="BD11" t="s">
        <v>233</v>
      </c>
      <c r="BE11">
        <v>1</v>
      </c>
      <c r="BF11" t="s">
        <v>138</v>
      </c>
      <c r="BG11" t="str">
        <f>"236006010368"</f>
        <v>236006010368</v>
      </c>
      <c r="BH11" t="s">
        <v>119</v>
      </c>
      <c r="BI11" t="s">
        <v>120</v>
      </c>
      <c r="BJ11" t="s">
        <v>121</v>
      </c>
      <c r="BK11" t="s">
        <v>122</v>
      </c>
      <c r="BM11" t="s">
        <v>234</v>
      </c>
      <c r="BN11" t="s">
        <v>235</v>
      </c>
      <c r="BO11" t="s">
        <v>236</v>
      </c>
      <c r="BP11" t="s">
        <v>174</v>
      </c>
      <c r="BQ11" t="s">
        <v>175</v>
      </c>
      <c r="BR11" t="s">
        <v>237</v>
      </c>
      <c r="BS11" t="s">
        <v>238</v>
      </c>
      <c r="BT11" t="s">
        <v>239</v>
      </c>
      <c r="BU11" t="s">
        <v>240</v>
      </c>
      <c r="BV11" t="s">
        <v>117</v>
      </c>
      <c r="BW11" t="s">
        <v>241</v>
      </c>
      <c r="BX11" s="2">
        <v>44652</v>
      </c>
      <c r="CA11" t="str">
        <f>"0"</f>
        <v>0</v>
      </c>
      <c r="CD11" t="s">
        <v>121</v>
      </c>
      <c r="CF11" t="s">
        <v>130</v>
      </c>
      <c r="CG11" t="s">
        <v>110</v>
      </c>
    </row>
    <row r="12" spans="1:95" x14ac:dyDescent="0.3">
      <c r="A12">
        <v>185407</v>
      </c>
      <c r="B12">
        <v>115908</v>
      </c>
      <c r="C12" t="str">
        <f>"531107401871"</f>
        <v>531107401871</v>
      </c>
      <c r="D12" t="s">
        <v>242</v>
      </c>
      <c r="E12" t="s">
        <v>207</v>
      </c>
      <c r="F12" t="s">
        <v>243</v>
      </c>
      <c r="G12" s="1">
        <v>19670</v>
      </c>
      <c r="I12" t="s">
        <v>98</v>
      </c>
      <c r="J12" t="s">
        <v>99</v>
      </c>
      <c r="K12" t="s">
        <v>244</v>
      </c>
      <c r="P12" t="s">
        <v>101</v>
      </c>
      <c r="W12" t="str">
        <f>"2015-09-01T00:00:00"</f>
        <v>2015-09-01T00:00:00</v>
      </c>
      <c r="X12" t="str">
        <f>"№35"</f>
        <v>№35</v>
      </c>
      <c r="Z12" t="s">
        <v>102</v>
      </c>
      <c r="AA12" t="s">
        <v>103</v>
      </c>
      <c r="AE12" t="s">
        <v>104</v>
      </c>
      <c r="AF12" t="s">
        <v>105</v>
      </c>
      <c r="AG12">
        <v>0.7</v>
      </c>
      <c r="AH12" t="s">
        <v>106</v>
      </c>
      <c r="AI12" t="s">
        <v>107</v>
      </c>
      <c r="AJ12" t="s">
        <v>108</v>
      </c>
      <c r="AM12" t="s">
        <v>109</v>
      </c>
      <c r="AN12" t="s">
        <v>110</v>
      </c>
      <c r="AO12" t="str">
        <f>"38"</f>
        <v>38</v>
      </c>
      <c r="AP12" t="str">
        <f>"44"</f>
        <v>44</v>
      </c>
      <c r="AQ12" t="str">
        <f>"37"</f>
        <v>37</v>
      </c>
      <c r="AR12" t="str">
        <f>"37"</f>
        <v>37</v>
      </c>
      <c r="AS12" t="str">
        <f>"6"</f>
        <v>6</v>
      </c>
      <c r="AT12" t="str">
        <f>"dzyubenko.53@bk.ru"</f>
        <v>dzyubenko.53@bk.ru</v>
      </c>
      <c r="AU12" t="str">
        <f>"87079893077"</f>
        <v>87079893077</v>
      </c>
      <c r="AV12" t="s">
        <v>168</v>
      </c>
      <c r="AW12" t="s">
        <v>137</v>
      </c>
      <c r="AX12" t="s">
        <v>113</v>
      </c>
      <c r="AY12" t="s">
        <v>245</v>
      </c>
      <c r="AZ12" t="s">
        <v>115</v>
      </c>
      <c r="BA12">
        <v>0.7</v>
      </c>
      <c r="BB12" t="s">
        <v>246</v>
      </c>
      <c r="BC12">
        <v>0.5</v>
      </c>
      <c r="BF12" t="s">
        <v>247</v>
      </c>
      <c r="BJ12" t="s">
        <v>121</v>
      </c>
      <c r="BK12" t="s">
        <v>122</v>
      </c>
      <c r="BM12" t="s">
        <v>123</v>
      </c>
      <c r="BN12" t="s">
        <v>248</v>
      </c>
      <c r="BO12" t="s">
        <v>124</v>
      </c>
      <c r="BP12" t="s">
        <v>125</v>
      </c>
      <c r="BQ12" t="s">
        <v>249</v>
      </c>
      <c r="BR12">
        <v>80</v>
      </c>
      <c r="BS12" t="s">
        <v>250</v>
      </c>
      <c r="BT12" t="s">
        <v>251</v>
      </c>
      <c r="BU12">
        <v>7522</v>
      </c>
      <c r="BV12" t="s">
        <v>117</v>
      </c>
      <c r="BW12" t="s">
        <v>252</v>
      </c>
      <c r="BX12" t="s">
        <v>162</v>
      </c>
      <c r="CA12" t="str">
        <f>"0"</f>
        <v>0</v>
      </c>
      <c r="CD12" t="s">
        <v>142</v>
      </c>
      <c r="CF12" t="s">
        <v>130</v>
      </c>
      <c r="CG12" t="s">
        <v>110</v>
      </c>
    </row>
    <row r="13" spans="1:95" x14ac:dyDescent="0.3">
      <c r="A13">
        <v>185410</v>
      </c>
      <c r="B13">
        <v>133180</v>
      </c>
      <c r="C13" t="str">
        <f>"920611450402"</f>
        <v>920611450402</v>
      </c>
      <c r="D13" t="s">
        <v>253</v>
      </c>
      <c r="E13" t="s">
        <v>254</v>
      </c>
      <c r="F13" t="s">
        <v>255</v>
      </c>
      <c r="G13" s="1">
        <v>33766</v>
      </c>
      <c r="I13" t="s">
        <v>98</v>
      </c>
      <c r="J13" t="s">
        <v>99</v>
      </c>
      <c r="K13" t="s">
        <v>100</v>
      </c>
      <c r="P13" t="s">
        <v>146</v>
      </c>
      <c r="W13" t="str">
        <f>"2017-09-02T00:00:00"</f>
        <v>2017-09-02T00:00:00</v>
      </c>
      <c r="X13" t="str">
        <f>"№71"</f>
        <v>№71</v>
      </c>
      <c r="Z13" t="s">
        <v>256</v>
      </c>
      <c r="AA13" t="s">
        <v>135</v>
      </c>
      <c r="AE13" t="s">
        <v>104</v>
      </c>
      <c r="AF13" t="s">
        <v>105</v>
      </c>
      <c r="AG13">
        <v>0.8</v>
      </c>
      <c r="AH13" t="s">
        <v>106</v>
      </c>
      <c r="AI13" t="s">
        <v>107</v>
      </c>
      <c r="AJ13" t="s">
        <v>185</v>
      </c>
      <c r="AM13" t="s">
        <v>109</v>
      </c>
      <c r="AN13" t="s">
        <v>110</v>
      </c>
      <c r="AO13" t="str">
        <f>"3"</f>
        <v>3</v>
      </c>
      <c r="AP13" t="str">
        <f>"7"</f>
        <v>7</v>
      </c>
      <c r="AQ13" t="str">
        <f>"6"</f>
        <v>6</v>
      </c>
      <c r="AR13" t="str">
        <f>"6"</f>
        <v>6</v>
      </c>
      <c r="AS13" t="str">
        <f>"4"</f>
        <v>4</v>
      </c>
      <c r="AT13" t="str">
        <f>"kabdenova777@inbox.ru"</f>
        <v>kabdenova777@inbox.ru</v>
      </c>
      <c r="AU13" t="str">
        <f>"87472999691"</f>
        <v>87472999691</v>
      </c>
      <c r="AV13" t="s">
        <v>168</v>
      </c>
      <c r="AW13" t="s">
        <v>186</v>
      </c>
      <c r="AX13" t="s">
        <v>113</v>
      </c>
      <c r="AY13" t="s">
        <v>257</v>
      </c>
      <c r="AZ13" t="s">
        <v>187</v>
      </c>
      <c r="BA13">
        <v>0.8</v>
      </c>
      <c r="BB13" t="s">
        <v>110</v>
      </c>
      <c r="BC13">
        <v>0</v>
      </c>
      <c r="BF13" t="s">
        <v>138</v>
      </c>
      <c r="BG13" t="str">
        <f>"236006010379"</f>
        <v>236006010379</v>
      </c>
      <c r="BH13" t="s">
        <v>119</v>
      </c>
      <c r="BI13" t="s">
        <v>120</v>
      </c>
      <c r="BJ13" t="s">
        <v>121</v>
      </c>
      <c r="BK13" t="s">
        <v>122</v>
      </c>
      <c r="BM13" t="s">
        <v>123</v>
      </c>
      <c r="BN13" t="s">
        <v>257</v>
      </c>
      <c r="BO13" t="s">
        <v>124</v>
      </c>
      <c r="BP13" t="s">
        <v>125</v>
      </c>
      <c r="BQ13" t="s">
        <v>249</v>
      </c>
      <c r="BR13">
        <v>160</v>
      </c>
      <c r="BS13" t="s">
        <v>258</v>
      </c>
      <c r="BT13" t="s">
        <v>259</v>
      </c>
      <c r="BU13">
        <v>10436</v>
      </c>
      <c r="BV13" t="s">
        <v>117</v>
      </c>
      <c r="BW13" t="s">
        <v>260</v>
      </c>
      <c r="BX13" t="s">
        <v>162</v>
      </c>
      <c r="CA13" t="str">
        <f>"5"</f>
        <v>5</v>
      </c>
      <c r="CD13" t="s">
        <v>121</v>
      </c>
      <c r="CF13" t="s">
        <v>261</v>
      </c>
      <c r="CG13" t="s">
        <v>110</v>
      </c>
    </row>
    <row r="14" spans="1:95" x14ac:dyDescent="0.3">
      <c r="A14">
        <v>185423</v>
      </c>
      <c r="B14">
        <v>159112</v>
      </c>
      <c r="C14" t="str">
        <f>"780210401354"</f>
        <v>780210401354</v>
      </c>
      <c r="D14" t="s">
        <v>262</v>
      </c>
      <c r="E14" t="s">
        <v>263</v>
      </c>
      <c r="F14" t="s">
        <v>264</v>
      </c>
      <c r="G14" s="1">
        <v>28531</v>
      </c>
      <c r="I14" t="s">
        <v>98</v>
      </c>
      <c r="J14" t="s">
        <v>99</v>
      </c>
      <c r="K14" t="s">
        <v>100</v>
      </c>
      <c r="P14" t="s">
        <v>146</v>
      </c>
      <c r="W14" t="str">
        <f>"2016-09-01T00:00:00"</f>
        <v>2016-09-01T00:00:00</v>
      </c>
      <c r="X14" t="str">
        <f>"№51"</f>
        <v>№51</v>
      </c>
      <c r="Z14" t="s">
        <v>134</v>
      </c>
      <c r="AA14" t="s">
        <v>135</v>
      </c>
      <c r="AE14" t="s">
        <v>104</v>
      </c>
      <c r="AF14" t="s">
        <v>105</v>
      </c>
      <c r="AG14">
        <v>1.5</v>
      </c>
      <c r="AH14" t="s">
        <v>106</v>
      </c>
      <c r="AI14" t="s">
        <v>107</v>
      </c>
      <c r="AJ14" t="s">
        <v>108</v>
      </c>
      <c r="AM14" t="s">
        <v>109</v>
      </c>
      <c r="AN14" t="s">
        <v>110</v>
      </c>
      <c r="AO14" t="str">
        <f>"12"</f>
        <v>12</v>
      </c>
      <c r="AP14" t="str">
        <f>"17"</f>
        <v>17</v>
      </c>
      <c r="AQ14" t="str">
        <f>"16"</f>
        <v>16</v>
      </c>
      <c r="AR14" t="str">
        <f>"16"</f>
        <v>16</v>
      </c>
      <c r="AS14" t="str">
        <f>"5"</f>
        <v>5</v>
      </c>
      <c r="AT14" t="str">
        <f>"ispaeva.zhanat@mail.ru"</f>
        <v>ispaeva.zhanat@mail.ru</v>
      </c>
      <c r="AU14" t="str">
        <f>"87775296799"</f>
        <v>87775296799</v>
      </c>
      <c r="AV14" t="s">
        <v>136</v>
      </c>
      <c r="AW14" t="s">
        <v>137</v>
      </c>
      <c r="AX14" t="s">
        <v>113</v>
      </c>
      <c r="AY14" t="s">
        <v>265</v>
      </c>
      <c r="AZ14" t="s">
        <v>115</v>
      </c>
      <c r="BA14">
        <v>1.5</v>
      </c>
      <c r="BB14" t="s">
        <v>110</v>
      </c>
      <c r="BC14">
        <v>0</v>
      </c>
      <c r="BF14" t="s">
        <v>138</v>
      </c>
      <c r="BG14" t="str">
        <f>"236006010371"</f>
        <v>236006010371</v>
      </c>
      <c r="BH14" t="s">
        <v>119</v>
      </c>
      <c r="BI14" t="s">
        <v>120</v>
      </c>
      <c r="BJ14" t="s">
        <v>121</v>
      </c>
      <c r="BK14" t="s">
        <v>122</v>
      </c>
      <c r="BM14" t="s">
        <v>123</v>
      </c>
      <c r="BN14" t="s">
        <v>265</v>
      </c>
      <c r="BO14" t="s">
        <v>124</v>
      </c>
      <c r="BP14" t="s">
        <v>125</v>
      </c>
      <c r="BQ14" t="s">
        <v>249</v>
      </c>
      <c r="BR14">
        <v>160</v>
      </c>
      <c r="BS14" t="s">
        <v>266</v>
      </c>
      <c r="BT14" t="s">
        <v>267</v>
      </c>
      <c r="BU14">
        <v>2828</v>
      </c>
      <c r="BV14" t="s">
        <v>117</v>
      </c>
      <c r="BW14" t="s">
        <v>268</v>
      </c>
      <c r="BX14" t="s">
        <v>162</v>
      </c>
      <c r="CA14" t="str">
        <f t="shared" ref="CA14:CA19" si="0">"0"</f>
        <v>0</v>
      </c>
      <c r="CD14" t="s">
        <v>121</v>
      </c>
      <c r="CF14" t="s">
        <v>130</v>
      </c>
      <c r="CG14" t="s">
        <v>110</v>
      </c>
    </row>
    <row r="15" spans="1:95" x14ac:dyDescent="0.3">
      <c r="A15">
        <v>185436</v>
      </c>
      <c r="B15">
        <v>159124</v>
      </c>
      <c r="C15" t="str">
        <f>"610302402319"</f>
        <v>610302402319</v>
      </c>
      <c r="D15" t="s">
        <v>269</v>
      </c>
      <c r="E15" t="s">
        <v>270</v>
      </c>
      <c r="F15" t="s">
        <v>271</v>
      </c>
      <c r="G15" s="1">
        <v>22342</v>
      </c>
      <c r="I15" t="s">
        <v>98</v>
      </c>
      <c r="J15" t="s">
        <v>99</v>
      </c>
      <c r="K15" t="s">
        <v>100</v>
      </c>
      <c r="P15" t="s">
        <v>146</v>
      </c>
      <c r="W15" t="str">
        <f>"2015-09-01T00:00:00"</f>
        <v>2015-09-01T00:00:00</v>
      </c>
      <c r="X15" t="str">
        <f>"№50"</f>
        <v>№50</v>
      </c>
      <c r="Z15" t="s">
        <v>134</v>
      </c>
      <c r="AA15" t="s">
        <v>135</v>
      </c>
      <c r="AE15" t="s">
        <v>104</v>
      </c>
      <c r="AF15" t="s">
        <v>167</v>
      </c>
      <c r="AG15">
        <v>1.2</v>
      </c>
      <c r="AH15" t="s">
        <v>106</v>
      </c>
      <c r="AI15" t="s">
        <v>107</v>
      </c>
      <c r="AJ15" t="s">
        <v>108</v>
      </c>
      <c r="AM15" t="s">
        <v>109</v>
      </c>
      <c r="AN15" t="s">
        <v>110</v>
      </c>
      <c r="AO15" t="str">
        <f>"36"</f>
        <v>36</v>
      </c>
      <c r="AP15" t="str">
        <f>"42"</f>
        <v>42</v>
      </c>
      <c r="AQ15" t="str">
        <f>"41"</f>
        <v>41</v>
      </c>
      <c r="AR15" t="str">
        <f>"41"</f>
        <v>41</v>
      </c>
      <c r="AS15" t="str">
        <f>"6"</f>
        <v>6</v>
      </c>
      <c r="AT15" t="str">
        <f>"zhanabaeva_61@mail.ru"</f>
        <v>zhanabaeva_61@mail.ru</v>
      </c>
      <c r="AU15" t="str">
        <f>"87057643546"</f>
        <v>87057643546</v>
      </c>
      <c r="AV15" t="s">
        <v>111</v>
      </c>
      <c r="AW15" t="s">
        <v>112</v>
      </c>
      <c r="AX15" t="s">
        <v>113</v>
      </c>
      <c r="AY15" t="s">
        <v>169</v>
      </c>
      <c r="AZ15" t="s">
        <v>115</v>
      </c>
      <c r="BA15">
        <v>1.2</v>
      </c>
      <c r="BB15" t="s">
        <v>110</v>
      </c>
      <c r="BC15">
        <v>0</v>
      </c>
      <c r="BF15" t="s">
        <v>118</v>
      </c>
      <c r="BG15" t="str">
        <f>"236006010377"</f>
        <v>236006010377</v>
      </c>
      <c r="BH15" t="s">
        <v>119</v>
      </c>
      <c r="BI15" t="s">
        <v>120</v>
      </c>
      <c r="BJ15" t="s">
        <v>121</v>
      </c>
      <c r="BK15" t="s">
        <v>122</v>
      </c>
      <c r="BM15" t="s">
        <v>123</v>
      </c>
      <c r="BN15" t="s">
        <v>169</v>
      </c>
      <c r="BO15" t="s">
        <v>124</v>
      </c>
      <c r="BP15" t="s">
        <v>125</v>
      </c>
      <c r="BQ15" t="s">
        <v>249</v>
      </c>
      <c r="BR15">
        <v>120</v>
      </c>
      <c r="BS15" t="s">
        <v>272</v>
      </c>
      <c r="BT15" t="s">
        <v>273</v>
      </c>
      <c r="BU15">
        <v>64</v>
      </c>
      <c r="BV15" t="s">
        <v>117</v>
      </c>
      <c r="BW15" t="s">
        <v>274</v>
      </c>
      <c r="BX15" s="2">
        <v>44652</v>
      </c>
      <c r="CA15" t="str">
        <f t="shared" si="0"/>
        <v>0</v>
      </c>
      <c r="CD15" t="s">
        <v>121</v>
      </c>
      <c r="CF15" t="s">
        <v>275</v>
      </c>
      <c r="CG15" t="s">
        <v>110</v>
      </c>
    </row>
    <row r="16" spans="1:95" x14ac:dyDescent="0.3">
      <c r="A16">
        <v>185447</v>
      </c>
      <c r="B16">
        <v>159131</v>
      </c>
      <c r="C16" t="str">
        <f>"631107403978"</f>
        <v>631107403978</v>
      </c>
      <c r="D16" t="s">
        <v>276</v>
      </c>
      <c r="E16" t="s">
        <v>277</v>
      </c>
      <c r="F16" t="s">
        <v>278</v>
      </c>
      <c r="G16" s="1">
        <v>23322</v>
      </c>
      <c r="I16" t="s">
        <v>98</v>
      </c>
      <c r="J16" t="s">
        <v>99</v>
      </c>
      <c r="K16" t="s">
        <v>100</v>
      </c>
      <c r="P16" t="s">
        <v>101</v>
      </c>
      <c r="W16" t="str">
        <f>"2009-01-03T00:00:00"</f>
        <v>2009-01-03T00:00:00</v>
      </c>
      <c r="X16" t="str">
        <f>"№1"</f>
        <v>№1</v>
      </c>
      <c r="Z16" t="s">
        <v>134</v>
      </c>
      <c r="AA16" t="s">
        <v>135</v>
      </c>
      <c r="AE16" t="s">
        <v>104</v>
      </c>
      <c r="AF16" t="s">
        <v>105</v>
      </c>
      <c r="AG16">
        <v>1.5</v>
      </c>
      <c r="AH16" t="s">
        <v>106</v>
      </c>
      <c r="AI16" t="s">
        <v>107</v>
      </c>
      <c r="AJ16" t="s">
        <v>108</v>
      </c>
      <c r="AM16" t="s">
        <v>109</v>
      </c>
      <c r="AN16" t="s">
        <v>110</v>
      </c>
      <c r="AO16" t="str">
        <f>"22"</f>
        <v>22</v>
      </c>
      <c r="AP16" t="str">
        <f>"34"</f>
        <v>34</v>
      </c>
      <c r="AQ16" t="str">
        <f>"33"</f>
        <v>33</v>
      </c>
      <c r="AR16" t="str">
        <f>"33"</f>
        <v>33</v>
      </c>
      <c r="AS16" t="str">
        <f>"12"</f>
        <v>12</v>
      </c>
      <c r="AT16" t="str">
        <f>"bagdat_63@bk.ru"</f>
        <v>bagdat_63@bk.ru</v>
      </c>
      <c r="AU16" t="str">
        <f>"87013352616"</f>
        <v>87013352616</v>
      </c>
      <c r="AV16" t="s">
        <v>111</v>
      </c>
      <c r="AW16" t="s">
        <v>279</v>
      </c>
      <c r="AX16" t="s">
        <v>113</v>
      </c>
      <c r="AY16" t="s">
        <v>114</v>
      </c>
      <c r="AZ16" t="s">
        <v>115</v>
      </c>
      <c r="BA16">
        <v>1.5</v>
      </c>
      <c r="BB16" t="s">
        <v>110</v>
      </c>
      <c r="BC16">
        <v>0</v>
      </c>
      <c r="BF16" t="s">
        <v>280</v>
      </c>
      <c r="BJ16" t="s">
        <v>121</v>
      </c>
      <c r="BK16" t="s">
        <v>122</v>
      </c>
      <c r="BM16" t="s">
        <v>123</v>
      </c>
      <c r="BN16" t="s">
        <v>114</v>
      </c>
      <c r="BO16" t="s">
        <v>124</v>
      </c>
      <c r="BP16" t="s">
        <v>125</v>
      </c>
      <c r="BQ16" t="s">
        <v>126</v>
      </c>
      <c r="BR16">
        <v>160</v>
      </c>
      <c r="BS16" t="s">
        <v>281</v>
      </c>
      <c r="BT16" t="s">
        <v>282</v>
      </c>
      <c r="BU16">
        <v>11</v>
      </c>
      <c r="BV16" t="s">
        <v>117</v>
      </c>
      <c r="BW16" t="s">
        <v>283</v>
      </c>
      <c r="BX16" t="s">
        <v>162</v>
      </c>
      <c r="CA16" t="str">
        <f t="shared" si="0"/>
        <v>0</v>
      </c>
      <c r="CD16" t="s">
        <v>142</v>
      </c>
      <c r="CF16" t="s">
        <v>130</v>
      </c>
      <c r="CG16" t="s">
        <v>110</v>
      </c>
    </row>
    <row r="17" spans="1:85" x14ac:dyDescent="0.3">
      <c r="A17">
        <v>185451</v>
      </c>
      <c r="B17">
        <v>159134</v>
      </c>
      <c r="C17" t="str">
        <f>"670708401011"</f>
        <v>670708401011</v>
      </c>
      <c r="D17" t="s">
        <v>284</v>
      </c>
      <c r="E17" t="s">
        <v>285</v>
      </c>
      <c r="F17" t="s">
        <v>286</v>
      </c>
      <c r="G17" s="1">
        <v>24661</v>
      </c>
      <c r="I17" t="s">
        <v>98</v>
      </c>
      <c r="J17" t="s">
        <v>99</v>
      </c>
      <c r="K17" t="s">
        <v>100</v>
      </c>
      <c r="P17" t="s">
        <v>101</v>
      </c>
      <c r="W17" t="str">
        <f>"2002-08-31T00:00:00"</f>
        <v>2002-08-31T00:00:00</v>
      </c>
      <c r="X17" t="str">
        <f>"№38"</f>
        <v>№38</v>
      </c>
      <c r="Z17" t="s">
        <v>134</v>
      </c>
      <c r="AA17" t="s">
        <v>135</v>
      </c>
      <c r="AE17" t="s">
        <v>104</v>
      </c>
      <c r="AF17" t="s">
        <v>105</v>
      </c>
      <c r="AG17">
        <v>1.3</v>
      </c>
      <c r="AH17" t="s">
        <v>106</v>
      </c>
      <c r="AI17" t="s">
        <v>107</v>
      </c>
      <c r="AJ17" t="s">
        <v>108</v>
      </c>
      <c r="AM17" t="s">
        <v>109</v>
      </c>
      <c r="AN17" t="s">
        <v>110</v>
      </c>
      <c r="AO17" t="str">
        <f>"6"</f>
        <v>6</v>
      </c>
      <c r="AP17" t="str">
        <f>"25"</f>
        <v>25</v>
      </c>
      <c r="AQ17" t="str">
        <f>"24"</f>
        <v>24</v>
      </c>
      <c r="AR17" t="str">
        <f>"24"</f>
        <v>24</v>
      </c>
      <c r="AS17" t="str">
        <f>"19"</f>
        <v>19</v>
      </c>
      <c r="AT17" t="str">
        <f>"Nazgul-1967@mail.ru"</f>
        <v>Nazgul-1967@mail.ru</v>
      </c>
      <c r="AU17" t="str">
        <f>"87756700095"</f>
        <v>87756700095</v>
      </c>
      <c r="AV17" t="s">
        <v>111</v>
      </c>
      <c r="AW17" t="s">
        <v>137</v>
      </c>
      <c r="AX17" t="s">
        <v>113</v>
      </c>
      <c r="AY17" t="s">
        <v>114</v>
      </c>
      <c r="AZ17" t="s">
        <v>115</v>
      </c>
      <c r="BA17">
        <v>1.3</v>
      </c>
      <c r="BB17" t="s">
        <v>110</v>
      </c>
      <c r="BC17">
        <v>0</v>
      </c>
      <c r="BF17" t="s">
        <v>138</v>
      </c>
      <c r="BG17" t="str">
        <f>"236006010364"</f>
        <v>236006010364</v>
      </c>
      <c r="BH17" t="s">
        <v>119</v>
      </c>
      <c r="BI17" t="s">
        <v>120</v>
      </c>
      <c r="BJ17" t="s">
        <v>121</v>
      </c>
      <c r="BK17" t="s">
        <v>122</v>
      </c>
      <c r="BM17" t="s">
        <v>123</v>
      </c>
      <c r="BN17" t="s">
        <v>114</v>
      </c>
      <c r="BO17" t="s">
        <v>124</v>
      </c>
      <c r="BP17" t="s">
        <v>125</v>
      </c>
      <c r="BQ17" t="s">
        <v>126</v>
      </c>
      <c r="BR17">
        <v>160</v>
      </c>
      <c r="BS17" t="s">
        <v>287</v>
      </c>
      <c r="BT17" t="s">
        <v>282</v>
      </c>
      <c r="BU17">
        <v>21</v>
      </c>
      <c r="BV17" t="s">
        <v>117</v>
      </c>
      <c r="BW17" t="s">
        <v>288</v>
      </c>
      <c r="BX17" t="s">
        <v>162</v>
      </c>
      <c r="CA17" t="str">
        <f t="shared" si="0"/>
        <v>0</v>
      </c>
      <c r="CD17" t="s">
        <v>121</v>
      </c>
      <c r="CF17" t="s">
        <v>130</v>
      </c>
      <c r="CG17" t="s">
        <v>110</v>
      </c>
    </row>
    <row r="18" spans="1:85" x14ac:dyDescent="0.3">
      <c r="A18">
        <v>185474</v>
      </c>
      <c r="B18">
        <v>159155</v>
      </c>
      <c r="C18" t="str">
        <f>"701124450313"</f>
        <v>701124450313</v>
      </c>
      <c r="D18" t="s">
        <v>289</v>
      </c>
      <c r="E18" t="s">
        <v>290</v>
      </c>
      <c r="F18" t="s">
        <v>291</v>
      </c>
      <c r="G18" s="1">
        <v>25896</v>
      </c>
      <c r="I18" t="s">
        <v>98</v>
      </c>
      <c r="J18" t="s">
        <v>99</v>
      </c>
      <c r="K18" t="s">
        <v>100</v>
      </c>
      <c r="P18" t="s">
        <v>101</v>
      </c>
      <c r="W18" t="str">
        <f>"1995-08-28T00:00:00"</f>
        <v>1995-08-28T00:00:00</v>
      </c>
      <c r="X18" t="str">
        <f>"№52"</f>
        <v>№52</v>
      </c>
      <c r="Z18" t="s">
        <v>134</v>
      </c>
      <c r="AA18" t="s">
        <v>135</v>
      </c>
      <c r="AE18" t="s">
        <v>104</v>
      </c>
      <c r="AF18" t="s">
        <v>105</v>
      </c>
      <c r="AG18">
        <v>1.3</v>
      </c>
      <c r="AH18" t="s">
        <v>106</v>
      </c>
      <c r="AI18" t="s">
        <v>107</v>
      </c>
      <c r="AJ18" t="s">
        <v>108</v>
      </c>
      <c r="AM18" t="s">
        <v>109</v>
      </c>
      <c r="AN18" t="s">
        <v>110</v>
      </c>
      <c r="AO18" t="str">
        <f>"7"</f>
        <v>7</v>
      </c>
      <c r="AP18" t="str">
        <f>"33"</f>
        <v>33</v>
      </c>
      <c r="AQ18" t="str">
        <f>"32"</f>
        <v>32</v>
      </c>
      <c r="AR18" t="str">
        <f>"32"</f>
        <v>32</v>
      </c>
      <c r="AS18" t="str">
        <f>"26"</f>
        <v>26</v>
      </c>
      <c r="AT18" t="str">
        <f>"ms_guli_70@mail.ru"</f>
        <v>ms_guli_70@mail.ru</v>
      </c>
      <c r="AU18" t="str">
        <f>"87025499665"</f>
        <v>87025499665</v>
      </c>
      <c r="AV18" t="s">
        <v>111</v>
      </c>
      <c r="AW18" t="s">
        <v>112</v>
      </c>
      <c r="AX18" t="s">
        <v>113</v>
      </c>
      <c r="AY18" t="s">
        <v>114</v>
      </c>
      <c r="AZ18" t="s">
        <v>115</v>
      </c>
      <c r="BA18">
        <v>1.3</v>
      </c>
      <c r="BB18" t="s">
        <v>110</v>
      </c>
      <c r="BC18">
        <v>0</v>
      </c>
      <c r="BF18" t="s">
        <v>138</v>
      </c>
      <c r="BG18" t="str">
        <f>"236006010363"</f>
        <v>236006010363</v>
      </c>
      <c r="BH18" t="s">
        <v>119</v>
      </c>
      <c r="BI18" t="s">
        <v>120</v>
      </c>
      <c r="BJ18" t="s">
        <v>121</v>
      </c>
      <c r="BK18" t="s">
        <v>122</v>
      </c>
      <c r="BM18" t="s">
        <v>123</v>
      </c>
      <c r="BN18" t="s">
        <v>114</v>
      </c>
      <c r="BO18" t="s">
        <v>124</v>
      </c>
      <c r="BP18" t="s">
        <v>125</v>
      </c>
      <c r="BQ18" t="s">
        <v>126</v>
      </c>
      <c r="BR18">
        <v>160</v>
      </c>
      <c r="BS18" t="s">
        <v>281</v>
      </c>
      <c r="BT18" t="s">
        <v>282</v>
      </c>
      <c r="BU18">
        <v>26</v>
      </c>
      <c r="BV18" t="s">
        <v>117</v>
      </c>
      <c r="BW18" t="s">
        <v>292</v>
      </c>
      <c r="BX18" s="2">
        <v>44652</v>
      </c>
      <c r="CA18" t="str">
        <f t="shared" si="0"/>
        <v>0</v>
      </c>
      <c r="CD18" t="s">
        <v>142</v>
      </c>
      <c r="CF18" t="s">
        <v>130</v>
      </c>
      <c r="CG18" t="s">
        <v>110</v>
      </c>
    </row>
    <row r="19" spans="1:85" x14ac:dyDescent="0.3">
      <c r="A19">
        <v>185479</v>
      </c>
      <c r="B19">
        <v>159159</v>
      </c>
      <c r="C19" t="str">
        <f>"741216400811"</f>
        <v>741216400811</v>
      </c>
      <c r="D19" t="s">
        <v>293</v>
      </c>
      <c r="E19" t="s">
        <v>294</v>
      </c>
      <c r="F19" t="s">
        <v>295</v>
      </c>
      <c r="G19" s="1">
        <v>27379</v>
      </c>
      <c r="I19" t="s">
        <v>98</v>
      </c>
      <c r="J19" t="s">
        <v>99</v>
      </c>
      <c r="K19" t="s">
        <v>244</v>
      </c>
      <c r="P19" t="s">
        <v>101</v>
      </c>
      <c r="W19" t="str">
        <f>"1996-08-20T00:00:00"</f>
        <v>1996-08-20T00:00:00</v>
      </c>
      <c r="X19" t="str">
        <f>"№109"</f>
        <v>№109</v>
      </c>
      <c r="Z19" t="s">
        <v>134</v>
      </c>
      <c r="AA19" t="s">
        <v>135</v>
      </c>
      <c r="AE19" t="s">
        <v>104</v>
      </c>
      <c r="AF19" t="s">
        <v>167</v>
      </c>
      <c r="AG19">
        <v>1.4</v>
      </c>
      <c r="AH19" t="s">
        <v>106</v>
      </c>
      <c r="AI19" t="s">
        <v>107</v>
      </c>
      <c r="AJ19" t="s">
        <v>108</v>
      </c>
      <c r="AM19" t="s">
        <v>109</v>
      </c>
      <c r="AN19" t="s">
        <v>110</v>
      </c>
      <c r="AO19" t="str">
        <f>"0"</f>
        <v>0</v>
      </c>
      <c r="AP19" t="str">
        <f>"25"</f>
        <v>25</v>
      </c>
      <c r="AQ19" t="str">
        <f>"24"</f>
        <v>24</v>
      </c>
      <c r="AR19" t="str">
        <f>"24"</f>
        <v>24</v>
      </c>
      <c r="AS19" t="str">
        <f>"25"</f>
        <v>25</v>
      </c>
      <c r="AT19" t="str">
        <f>"nataliafranz74@mail.ru"</f>
        <v>nataliafranz74@mail.ru</v>
      </c>
      <c r="AU19" t="str">
        <f>"87476903538"</f>
        <v>87476903538</v>
      </c>
      <c r="AV19" t="s">
        <v>111</v>
      </c>
      <c r="AW19" t="s">
        <v>296</v>
      </c>
      <c r="AX19" t="s">
        <v>113</v>
      </c>
      <c r="AY19" t="s">
        <v>169</v>
      </c>
      <c r="AZ19" t="s">
        <v>115</v>
      </c>
      <c r="BA19">
        <v>1.4</v>
      </c>
      <c r="BB19" t="s">
        <v>110</v>
      </c>
      <c r="BC19">
        <v>0</v>
      </c>
      <c r="BF19" t="s">
        <v>138</v>
      </c>
      <c r="BG19" t="str">
        <f>"236006010347"</f>
        <v>236006010347</v>
      </c>
      <c r="BH19" t="s">
        <v>119</v>
      </c>
      <c r="BI19" t="s">
        <v>120</v>
      </c>
      <c r="BJ19" t="s">
        <v>121</v>
      </c>
      <c r="BK19" t="s">
        <v>122</v>
      </c>
      <c r="BM19" t="s">
        <v>297</v>
      </c>
      <c r="BN19" t="s">
        <v>169</v>
      </c>
      <c r="BO19" t="s">
        <v>124</v>
      </c>
      <c r="BP19" t="s">
        <v>125</v>
      </c>
      <c r="BQ19" t="s">
        <v>249</v>
      </c>
      <c r="BR19">
        <v>120</v>
      </c>
      <c r="BS19" t="s">
        <v>298</v>
      </c>
      <c r="BT19" t="s">
        <v>299</v>
      </c>
      <c r="BU19">
        <v>3865</v>
      </c>
      <c r="BV19" t="s">
        <v>117</v>
      </c>
      <c r="BW19" t="s">
        <v>300</v>
      </c>
      <c r="BX19" s="2">
        <v>44652</v>
      </c>
      <c r="CA19" t="str">
        <f t="shared" si="0"/>
        <v>0</v>
      </c>
      <c r="CD19" t="s">
        <v>121</v>
      </c>
      <c r="CF19" t="s">
        <v>130</v>
      </c>
      <c r="CG19" t="s">
        <v>110</v>
      </c>
    </row>
    <row r="20" spans="1:85" x14ac:dyDescent="0.3">
      <c r="A20">
        <v>185482</v>
      </c>
      <c r="B20">
        <v>159162</v>
      </c>
      <c r="C20" t="str">
        <f>"720721450032"</f>
        <v>720721450032</v>
      </c>
      <c r="D20" t="s">
        <v>301</v>
      </c>
      <c r="E20" t="s">
        <v>302</v>
      </c>
      <c r="F20" t="s">
        <v>303</v>
      </c>
      <c r="G20" s="1">
        <v>26501</v>
      </c>
      <c r="I20" t="s">
        <v>98</v>
      </c>
      <c r="J20" t="s">
        <v>99</v>
      </c>
      <c r="K20" t="s">
        <v>209</v>
      </c>
      <c r="P20" t="s">
        <v>101</v>
      </c>
      <c r="W20" t="str">
        <f>"1994-08-22T00:00:00"</f>
        <v>1994-08-22T00:00:00</v>
      </c>
      <c r="X20" t="str">
        <f>"№190"</f>
        <v>№190</v>
      </c>
      <c r="Z20" t="s">
        <v>134</v>
      </c>
      <c r="AA20" t="s">
        <v>135</v>
      </c>
      <c r="AE20" t="s">
        <v>104</v>
      </c>
      <c r="AF20" t="s">
        <v>105</v>
      </c>
      <c r="AG20">
        <v>1.5</v>
      </c>
      <c r="AH20" t="s">
        <v>106</v>
      </c>
      <c r="AI20" t="s">
        <v>107</v>
      </c>
      <c r="AJ20" t="s">
        <v>108</v>
      </c>
      <c r="AM20" t="s">
        <v>109</v>
      </c>
      <c r="AN20" t="s">
        <v>110</v>
      </c>
      <c r="AO20" t="str">
        <f>"0"</f>
        <v>0</v>
      </c>
      <c r="AP20" t="str">
        <f>"27"</f>
        <v>27</v>
      </c>
      <c r="AQ20" t="str">
        <f>"26"</f>
        <v>26</v>
      </c>
      <c r="AR20" t="str">
        <f>"26"</f>
        <v>26</v>
      </c>
      <c r="AS20" t="str">
        <f>"27"</f>
        <v>27</v>
      </c>
      <c r="AT20" t="str">
        <f>"a.liza_72@mail.ru"</f>
        <v>a.liza_72@mail.ru</v>
      </c>
      <c r="AU20" t="str">
        <f>"87022992839"</f>
        <v>87022992839</v>
      </c>
      <c r="AV20" t="s">
        <v>111</v>
      </c>
      <c r="AW20" t="s">
        <v>137</v>
      </c>
      <c r="AX20" t="s">
        <v>113</v>
      </c>
      <c r="AY20" t="s">
        <v>304</v>
      </c>
      <c r="AZ20" t="s">
        <v>115</v>
      </c>
      <c r="BA20">
        <v>1</v>
      </c>
      <c r="BB20" t="s">
        <v>105</v>
      </c>
      <c r="BC20">
        <v>0.5</v>
      </c>
      <c r="BD20" t="s">
        <v>305</v>
      </c>
      <c r="BE20">
        <v>0.5</v>
      </c>
      <c r="BF20" t="s">
        <v>118</v>
      </c>
      <c r="BG20" t="str">
        <f>"236006010070"</f>
        <v>236006010070</v>
      </c>
      <c r="BH20" t="s">
        <v>119</v>
      </c>
      <c r="BI20" t="s">
        <v>120</v>
      </c>
      <c r="BJ20" t="s">
        <v>121</v>
      </c>
      <c r="BK20" t="s">
        <v>122</v>
      </c>
      <c r="BM20" t="s">
        <v>306</v>
      </c>
      <c r="BN20" t="s">
        <v>307</v>
      </c>
      <c r="BO20" t="s">
        <v>153</v>
      </c>
      <c r="BP20" t="s">
        <v>154</v>
      </c>
      <c r="BQ20" t="s">
        <v>308</v>
      </c>
      <c r="BR20" t="s">
        <v>156</v>
      </c>
      <c r="BS20" t="s">
        <v>309</v>
      </c>
      <c r="BT20" t="s">
        <v>310</v>
      </c>
      <c r="BU20" t="s">
        <v>311</v>
      </c>
      <c r="BV20" t="s">
        <v>248</v>
      </c>
      <c r="BW20" t="s">
        <v>312</v>
      </c>
      <c r="BX20" t="s">
        <v>162</v>
      </c>
      <c r="CA20" t="str">
        <f>"1"</f>
        <v>1</v>
      </c>
      <c r="CD20" t="s">
        <v>121</v>
      </c>
      <c r="CF20" t="s">
        <v>313</v>
      </c>
      <c r="CG20" t="s">
        <v>110</v>
      </c>
    </row>
    <row r="21" spans="1:85" x14ac:dyDescent="0.3">
      <c r="A21">
        <v>185489</v>
      </c>
      <c r="B21">
        <v>159169</v>
      </c>
      <c r="C21" t="str">
        <f>"770409402075"</f>
        <v>770409402075</v>
      </c>
      <c r="D21" t="s">
        <v>314</v>
      </c>
      <c r="E21" t="s">
        <v>315</v>
      </c>
      <c r="F21" t="s">
        <v>316</v>
      </c>
      <c r="G21" s="1">
        <v>28224</v>
      </c>
      <c r="I21" t="s">
        <v>98</v>
      </c>
      <c r="J21" t="s">
        <v>99</v>
      </c>
      <c r="K21" t="s">
        <v>100</v>
      </c>
      <c r="P21" t="s">
        <v>101</v>
      </c>
      <c r="W21" t="str">
        <f>"2004-01-03T00:00:00"</f>
        <v>2004-01-03T00:00:00</v>
      </c>
      <c r="X21" t="str">
        <f>"№36"</f>
        <v>№36</v>
      </c>
      <c r="Z21" t="s">
        <v>134</v>
      </c>
      <c r="AA21" t="s">
        <v>135</v>
      </c>
      <c r="AE21" t="s">
        <v>104</v>
      </c>
      <c r="AF21" t="s">
        <v>105</v>
      </c>
      <c r="AG21">
        <v>1.5</v>
      </c>
      <c r="AH21" t="s">
        <v>106</v>
      </c>
      <c r="AI21" t="s">
        <v>107</v>
      </c>
      <c r="AJ21" t="s">
        <v>108</v>
      </c>
      <c r="AM21" t="s">
        <v>109</v>
      </c>
      <c r="AN21" t="s">
        <v>110</v>
      </c>
      <c r="AO21" t="str">
        <f>"5"</f>
        <v>5</v>
      </c>
      <c r="AP21" t="str">
        <f>"23"</f>
        <v>23</v>
      </c>
      <c r="AQ21" t="str">
        <f>"21"</f>
        <v>21</v>
      </c>
      <c r="AR21" t="str">
        <f>"21"</f>
        <v>21</v>
      </c>
      <c r="AS21" t="str">
        <f>"18"</f>
        <v>18</v>
      </c>
      <c r="AT21" t="str">
        <f>"zhumabekova_1977@list.ru"</f>
        <v>zhumabekova_1977@list.ru</v>
      </c>
      <c r="AU21" t="str">
        <f>"87024113792"</f>
        <v>87024113792</v>
      </c>
      <c r="AV21" t="s">
        <v>111</v>
      </c>
      <c r="AW21" t="s">
        <v>112</v>
      </c>
      <c r="AX21" t="s">
        <v>113</v>
      </c>
      <c r="AY21" t="s">
        <v>265</v>
      </c>
      <c r="AZ21" t="s">
        <v>115</v>
      </c>
      <c r="BA21">
        <v>1.5</v>
      </c>
      <c r="BB21" t="s">
        <v>110</v>
      </c>
      <c r="BC21">
        <v>0</v>
      </c>
      <c r="BF21" t="s">
        <v>118</v>
      </c>
      <c r="BG21" t="str">
        <f>"236006010071"</f>
        <v>236006010071</v>
      </c>
      <c r="BH21" t="s">
        <v>119</v>
      </c>
      <c r="BI21" t="s">
        <v>120</v>
      </c>
      <c r="BJ21" t="s">
        <v>121</v>
      </c>
      <c r="BK21" t="s">
        <v>122</v>
      </c>
      <c r="BM21" t="s">
        <v>123</v>
      </c>
      <c r="BN21" t="s">
        <v>265</v>
      </c>
      <c r="BO21" t="s">
        <v>124</v>
      </c>
      <c r="BP21" t="s">
        <v>125</v>
      </c>
      <c r="BQ21" t="s">
        <v>249</v>
      </c>
      <c r="BR21">
        <v>160</v>
      </c>
      <c r="BS21" t="s">
        <v>317</v>
      </c>
      <c r="BT21" t="s">
        <v>318</v>
      </c>
      <c r="BU21">
        <v>2849</v>
      </c>
      <c r="BV21" t="s">
        <v>117</v>
      </c>
      <c r="BW21" t="s">
        <v>319</v>
      </c>
      <c r="BX21" t="s">
        <v>162</v>
      </c>
      <c r="CA21" t="str">
        <f>"0"</f>
        <v>0</v>
      </c>
      <c r="CD21" t="s">
        <v>121</v>
      </c>
      <c r="CF21" t="s">
        <v>130</v>
      </c>
      <c r="CG21" t="s">
        <v>110</v>
      </c>
    </row>
    <row r="22" spans="1:85" x14ac:dyDescent="0.3">
      <c r="A22">
        <v>185493</v>
      </c>
      <c r="B22">
        <v>159174</v>
      </c>
      <c r="C22" t="str">
        <f>"700905450297"</f>
        <v>700905450297</v>
      </c>
      <c r="D22" t="s">
        <v>320</v>
      </c>
      <c r="E22" t="s">
        <v>321</v>
      </c>
      <c r="F22" t="s">
        <v>322</v>
      </c>
      <c r="G22" s="1">
        <v>25816</v>
      </c>
      <c r="I22" t="s">
        <v>98</v>
      </c>
      <c r="J22" t="s">
        <v>99</v>
      </c>
      <c r="K22" t="s">
        <v>323</v>
      </c>
      <c r="P22" t="s">
        <v>146</v>
      </c>
      <c r="Q22" t="s">
        <v>142</v>
      </c>
      <c r="W22" t="str">
        <f>"1993-08-18T00:00:00"</f>
        <v>1993-08-18T00:00:00</v>
      </c>
      <c r="X22" t="str">
        <f>"№39"</f>
        <v>№39</v>
      </c>
      <c r="Z22" t="s">
        <v>134</v>
      </c>
      <c r="AA22" t="s">
        <v>135</v>
      </c>
      <c r="AE22" t="s">
        <v>104</v>
      </c>
      <c r="AF22" t="s">
        <v>105</v>
      </c>
      <c r="AG22">
        <v>1.5</v>
      </c>
      <c r="AH22" t="s">
        <v>106</v>
      </c>
      <c r="AI22" t="s">
        <v>107</v>
      </c>
      <c r="AJ22" t="s">
        <v>108</v>
      </c>
      <c r="AM22" t="s">
        <v>109</v>
      </c>
      <c r="AN22" t="s">
        <v>110</v>
      </c>
      <c r="AO22" t="str">
        <f>"0"</f>
        <v>0</v>
      </c>
      <c r="AP22" t="str">
        <f>"28"</f>
        <v>28</v>
      </c>
      <c r="AQ22" t="str">
        <f>"27"</f>
        <v>27</v>
      </c>
      <c r="AR22" t="str">
        <f>"27"</f>
        <v>27</v>
      </c>
      <c r="AS22" t="str">
        <f>"28"</f>
        <v>28</v>
      </c>
      <c r="AT22" t="str">
        <f>"liliy54321@mail.ru"</f>
        <v>liliy54321@mail.ru</v>
      </c>
      <c r="AU22" t="str">
        <f>"87022368741"</f>
        <v>87022368741</v>
      </c>
      <c r="AV22" t="s">
        <v>136</v>
      </c>
      <c r="AW22" t="s">
        <v>137</v>
      </c>
      <c r="AX22" t="s">
        <v>113</v>
      </c>
      <c r="AY22" t="s">
        <v>245</v>
      </c>
      <c r="AZ22" t="s">
        <v>115</v>
      </c>
      <c r="BA22">
        <v>1</v>
      </c>
      <c r="BB22" t="s">
        <v>110</v>
      </c>
      <c r="BC22">
        <v>0</v>
      </c>
      <c r="BF22" t="s">
        <v>138</v>
      </c>
      <c r="BG22" t="str">
        <f>"236006010380"</f>
        <v>236006010380</v>
      </c>
      <c r="BH22" t="s">
        <v>119</v>
      </c>
      <c r="BI22" t="s">
        <v>120</v>
      </c>
      <c r="BJ22" t="s">
        <v>121</v>
      </c>
      <c r="BK22" t="s">
        <v>122</v>
      </c>
      <c r="BM22" t="s">
        <v>324</v>
      </c>
      <c r="BN22" t="s">
        <v>325</v>
      </c>
      <c r="BO22" t="s">
        <v>326</v>
      </c>
      <c r="BP22" t="s">
        <v>327</v>
      </c>
      <c r="BQ22" t="s">
        <v>328</v>
      </c>
      <c r="BR22" t="s">
        <v>329</v>
      </c>
      <c r="BS22" t="s">
        <v>330</v>
      </c>
      <c r="BT22" t="s">
        <v>331</v>
      </c>
      <c r="BU22" t="s">
        <v>332</v>
      </c>
      <c r="BV22" t="s">
        <v>117</v>
      </c>
      <c r="BW22" t="s">
        <v>333</v>
      </c>
      <c r="BX22" t="s">
        <v>162</v>
      </c>
      <c r="CA22" t="str">
        <f>"1"</f>
        <v>1</v>
      </c>
      <c r="CD22" t="s">
        <v>121</v>
      </c>
      <c r="CF22" t="s">
        <v>163</v>
      </c>
      <c r="CG22" t="s">
        <v>110</v>
      </c>
    </row>
    <row r="23" spans="1:85" x14ac:dyDescent="0.3">
      <c r="A23">
        <v>185498</v>
      </c>
      <c r="B23">
        <v>159177</v>
      </c>
      <c r="C23" t="str">
        <f>"641103450414"</f>
        <v>641103450414</v>
      </c>
      <c r="D23" t="s">
        <v>334</v>
      </c>
      <c r="E23" t="s">
        <v>335</v>
      </c>
      <c r="F23" t="s">
        <v>336</v>
      </c>
      <c r="G23" s="1">
        <v>23684</v>
      </c>
      <c r="I23" t="s">
        <v>98</v>
      </c>
      <c r="J23" t="s">
        <v>99</v>
      </c>
      <c r="K23" t="s">
        <v>244</v>
      </c>
      <c r="P23" t="s">
        <v>101</v>
      </c>
      <c r="W23" t="str">
        <f>"1988-08-16T00:00:00"</f>
        <v>1988-08-16T00:00:00</v>
      </c>
      <c r="X23" t="str">
        <f>"№36"</f>
        <v>№36</v>
      </c>
      <c r="Z23" t="s">
        <v>134</v>
      </c>
      <c r="AA23" t="s">
        <v>135</v>
      </c>
      <c r="AE23" t="s">
        <v>104</v>
      </c>
      <c r="AF23" t="s">
        <v>105</v>
      </c>
      <c r="AG23">
        <v>1</v>
      </c>
      <c r="AH23" t="s">
        <v>106</v>
      </c>
      <c r="AI23" t="s">
        <v>107</v>
      </c>
      <c r="AJ23" t="s">
        <v>108</v>
      </c>
      <c r="AM23" t="s">
        <v>109</v>
      </c>
      <c r="AN23" t="s">
        <v>110</v>
      </c>
      <c r="AO23" t="str">
        <f>"0"</f>
        <v>0</v>
      </c>
      <c r="AP23" t="str">
        <f>"33"</f>
        <v>33</v>
      </c>
      <c r="AQ23" t="str">
        <f>"32"</f>
        <v>32</v>
      </c>
      <c r="AR23" t="str">
        <f>"32"</f>
        <v>32</v>
      </c>
      <c r="AS23" t="str">
        <f>"33"</f>
        <v>33</v>
      </c>
      <c r="AT23" t="str">
        <f>"elena_lozickaya@mail.ru"</f>
        <v>elena_lozickaya@mail.ru</v>
      </c>
      <c r="AU23" t="str">
        <f>"87024608488"</f>
        <v>87024608488</v>
      </c>
      <c r="AV23" t="s">
        <v>337</v>
      </c>
      <c r="AW23" t="s">
        <v>338</v>
      </c>
      <c r="AX23" t="s">
        <v>113</v>
      </c>
      <c r="AY23" t="s">
        <v>339</v>
      </c>
      <c r="AZ23" t="s">
        <v>115</v>
      </c>
      <c r="BA23">
        <v>1</v>
      </c>
      <c r="BB23" t="s">
        <v>110</v>
      </c>
      <c r="BC23">
        <v>0</v>
      </c>
      <c r="BF23" t="s">
        <v>138</v>
      </c>
      <c r="BG23" t="str">
        <f>"236006010347"</f>
        <v>236006010347</v>
      </c>
      <c r="BH23" t="s">
        <v>119</v>
      </c>
      <c r="BI23" t="s">
        <v>120</v>
      </c>
      <c r="BJ23" t="s">
        <v>121</v>
      </c>
      <c r="BK23" t="s">
        <v>122</v>
      </c>
      <c r="BM23" t="s">
        <v>123</v>
      </c>
      <c r="BN23" t="s">
        <v>339</v>
      </c>
      <c r="BO23" t="s">
        <v>124</v>
      </c>
      <c r="BP23" t="s">
        <v>125</v>
      </c>
      <c r="BQ23" t="s">
        <v>249</v>
      </c>
      <c r="BR23">
        <v>80</v>
      </c>
      <c r="BS23" t="s">
        <v>340</v>
      </c>
      <c r="BT23" t="s">
        <v>341</v>
      </c>
      <c r="BU23">
        <v>3501</v>
      </c>
      <c r="BV23" t="s">
        <v>342</v>
      </c>
      <c r="BW23" t="s">
        <v>343</v>
      </c>
      <c r="BX23" t="s">
        <v>162</v>
      </c>
      <c r="CA23" t="str">
        <f t="shared" ref="CA23:CA30" si="1">"0"</f>
        <v>0</v>
      </c>
      <c r="CD23" t="s">
        <v>142</v>
      </c>
      <c r="CF23" t="s">
        <v>130</v>
      </c>
      <c r="CG23" t="s">
        <v>110</v>
      </c>
    </row>
    <row r="24" spans="1:85" x14ac:dyDescent="0.3">
      <c r="A24">
        <v>185511</v>
      </c>
      <c r="B24">
        <v>159190</v>
      </c>
      <c r="C24" t="str">
        <f>"671003450019"</f>
        <v>671003450019</v>
      </c>
      <c r="D24" t="s">
        <v>344</v>
      </c>
      <c r="E24" t="s">
        <v>345</v>
      </c>
      <c r="F24" t="s">
        <v>346</v>
      </c>
      <c r="G24" s="1">
        <v>24748</v>
      </c>
      <c r="I24" t="s">
        <v>98</v>
      </c>
      <c r="J24" t="s">
        <v>99</v>
      </c>
      <c r="K24" t="s">
        <v>100</v>
      </c>
      <c r="P24" t="s">
        <v>101</v>
      </c>
      <c r="W24" t="str">
        <f>"1994-08-20T00:00:00"</f>
        <v>1994-08-20T00:00:00</v>
      </c>
      <c r="X24" t="str">
        <f>"№193"</f>
        <v>№193</v>
      </c>
      <c r="Z24" t="s">
        <v>134</v>
      </c>
      <c r="AA24" t="s">
        <v>135</v>
      </c>
      <c r="AE24" t="s">
        <v>104</v>
      </c>
      <c r="AF24" t="s">
        <v>105</v>
      </c>
      <c r="AG24">
        <v>1.5</v>
      </c>
      <c r="AH24" t="s">
        <v>106</v>
      </c>
      <c r="AI24" t="s">
        <v>107</v>
      </c>
      <c r="AJ24" t="s">
        <v>108</v>
      </c>
      <c r="AM24" t="s">
        <v>109</v>
      </c>
      <c r="AN24" t="s">
        <v>110</v>
      </c>
      <c r="AO24" t="str">
        <f>"5"</f>
        <v>5</v>
      </c>
      <c r="AP24" t="str">
        <f>"32"</f>
        <v>32</v>
      </c>
      <c r="AQ24" t="str">
        <f>"31"</f>
        <v>31</v>
      </c>
      <c r="AR24" t="str">
        <f>"31"</f>
        <v>31</v>
      </c>
      <c r="AS24" t="str">
        <f>"27"</f>
        <v>27</v>
      </c>
      <c r="AT24" t="str">
        <f>"kozganbaeva67@mail.ru"</f>
        <v>kozganbaeva67@mail.ru</v>
      </c>
      <c r="AU24" t="str">
        <f>"87012561087"</f>
        <v>87012561087</v>
      </c>
      <c r="AV24" t="s">
        <v>168</v>
      </c>
      <c r="AW24" t="s">
        <v>279</v>
      </c>
      <c r="AX24" t="s">
        <v>113</v>
      </c>
      <c r="AY24" t="s">
        <v>265</v>
      </c>
      <c r="AZ24" t="s">
        <v>115</v>
      </c>
      <c r="BA24">
        <v>1</v>
      </c>
      <c r="BB24" t="s">
        <v>110</v>
      </c>
      <c r="BC24">
        <v>0</v>
      </c>
      <c r="BF24" t="s">
        <v>138</v>
      </c>
      <c r="BG24" t="str">
        <f>"236006010353"</f>
        <v>236006010353</v>
      </c>
      <c r="BH24" t="s">
        <v>119</v>
      </c>
      <c r="BI24" t="s">
        <v>120</v>
      </c>
      <c r="BJ24" t="s">
        <v>121</v>
      </c>
      <c r="BK24" t="s">
        <v>122</v>
      </c>
      <c r="BM24" t="s">
        <v>347</v>
      </c>
      <c r="BN24" t="s">
        <v>348</v>
      </c>
      <c r="BO24" t="s">
        <v>349</v>
      </c>
      <c r="BP24" t="s">
        <v>350</v>
      </c>
      <c r="BQ24" t="s">
        <v>175</v>
      </c>
      <c r="BR24" t="s">
        <v>351</v>
      </c>
      <c r="BS24" t="s">
        <v>352</v>
      </c>
      <c r="BT24" t="s">
        <v>353</v>
      </c>
      <c r="BU24" t="s">
        <v>354</v>
      </c>
      <c r="BV24" t="s">
        <v>117</v>
      </c>
      <c r="BW24" t="s">
        <v>355</v>
      </c>
      <c r="BX24" t="s">
        <v>162</v>
      </c>
      <c r="CA24" t="str">
        <f t="shared" si="1"/>
        <v>0</v>
      </c>
      <c r="CD24" t="s">
        <v>142</v>
      </c>
      <c r="CF24" t="s">
        <v>130</v>
      </c>
      <c r="CG24" t="s">
        <v>110</v>
      </c>
    </row>
    <row r="25" spans="1:85" x14ac:dyDescent="0.3">
      <c r="A25">
        <v>185515</v>
      </c>
      <c r="B25">
        <v>159194</v>
      </c>
      <c r="C25" t="str">
        <f>"880827450239"</f>
        <v>880827450239</v>
      </c>
      <c r="D25" t="s">
        <v>356</v>
      </c>
      <c r="E25" t="s">
        <v>357</v>
      </c>
      <c r="F25" t="s">
        <v>358</v>
      </c>
      <c r="G25" s="1">
        <v>32382</v>
      </c>
      <c r="I25" t="s">
        <v>98</v>
      </c>
      <c r="J25" t="s">
        <v>99</v>
      </c>
      <c r="K25" t="s">
        <v>100</v>
      </c>
      <c r="P25" t="s">
        <v>101</v>
      </c>
      <c r="W25" t="str">
        <f>"2009-09-01T00:00:00"</f>
        <v>2009-09-01T00:00:00</v>
      </c>
      <c r="X25" t="str">
        <f>"№1"</f>
        <v>№1</v>
      </c>
      <c r="Z25" t="s">
        <v>359</v>
      </c>
      <c r="AA25" t="s">
        <v>135</v>
      </c>
      <c r="AE25" t="s">
        <v>104</v>
      </c>
      <c r="AF25" t="s">
        <v>167</v>
      </c>
      <c r="AG25">
        <v>1.5</v>
      </c>
      <c r="AH25" t="s">
        <v>106</v>
      </c>
      <c r="AI25" t="s">
        <v>107</v>
      </c>
      <c r="AJ25" t="s">
        <v>108</v>
      </c>
      <c r="AM25" t="s">
        <v>109</v>
      </c>
      <c r="AN25" t="s">
        <v>110</v>
      </c>
      <c r="AO25" t="str">
        <f>"1"</f>
        <v>1</v>
      </c>
      <c r="AP25" t="str">
        <f>"13"</f>
        <v>13</v>
      </c>
      <c r="AQ25" t="str">
        <f>"12"</f>
        <v>12</v>
      </c>
      <c r="AR25" t="str">
        <f>"12"</f>
        <v>12</v>
      </c>
      <c r="AS25" t="str">
        <f>"12"</f>
        <v>12</v>
      </c>
      <c r="AT25" t="str">
        <f>"ualieva.z@inbox.ru"</f>
        <v>ualieva.z@inbox.ru</v>
      </c>
      <c r="AU25" t="str">
        <f>"87013841096"</f>
        <v>87013841096</v>
      </c>
      <c r="AV25" t="s">
        <v>168</v>
      </c>
      <c r="AW25" t="s">
        <v>360</v>
      </c>
      <c r="AX25" t="s">
        <v>113</v>
      </c>
      <c r="AY25" t="s">
        <v>169</v>
      </c>
      <c r="AZ25" t="s">
        <v>115</v>
      </c>
      <c r="BA25">
        <v>1.5</v>
      </c>
      <c r="BB25" t="s">
        <v>110</v>
      </c>
      <c r="BC25">
        <v>0</v>
      </c>
      <c r="BF25" t="s">
        <v>138</v>
      </c>
      <c r="BG25" t="str">
        <f>"236006010357"</f>
        <v>236006010357</v>
      </c>
      <c r="BH25" t="s">
        <v>119</v>
      </c>
      <c r="BI25" t="s">
        <v>120</v>
      </c>
      <c r="BJ25" t="s">
        <v>121</v>
      </c>
      <c r="BK25" t="s">
        <v>122</v>
      </c>
      <c r="BM25" t="s">
        <v>123</v>
      </c>
      <c r="BN25" t="s">
        <v>169</v>
      </c>
      <c r="BO25" t="s">
        <v>124</v>
      </c>
      <c r="BP25" t="s">
        <v>125</v>
      </c>
      <c r="BQ25" t="s">
        <v>249</v>
      </c>
      <c r="BR25">
        <v>120</v>
      </c>
      <c r="BS25" t="s">
        <v>361</v>
      </c>
      <c r="BT25" t="s">
        <v>273</v>
      </c>
      <c r="BU25">
        <v>84</v>
      </c>
      <c r="BV25" t="s">
        <v>117</v>
      </c>
      <c r="BW25" t="s">
        <v>362</v>
      </c>
      <c r="BX25" s="2">
        <v>44652</v>
      </c>
      <c r="CA25" t="str">
        <f t="shared" si="1"/>
        <v>0</v>
      </c>
      <c r="CD25" t="s">
        <v>121</v>
      </c>
      <c r="CF25" t="s">
        <v>130</v>
      </c>
      <c r="CG25" t="s">
        <v>110</v>
      </c>
    </row>
    <row r="26" spans="1:85" x14ac:dyDescent="0.3">
      <c r="A26">
        <v>185520</v>
      </c>
      <c r="B26">
        <v>159199</v>
      </c>
      <c r="C26" t="str">
        <f>"880622450442"</f>
        <v>880622450442</v>
      </c>
      <c r="D26" t="s">
        <v>363</v>
      </c>
      <c r="E26" t="s">
        <v>364</v>
      </c>
      <c r="F26" t="s">
        <v>365</v>
      </c>
      <c r="G26" s="1">
        <v>32316</v>
      </c>
      <c r="I26" t="s">
        <v>98</v>
      </c>
      <c r="J26" t="s">
        <v>99</v>
      </c>
      <c r="K26" t="s">
        <v>100</v>
      </c>
      <c r="P26" t="s">
        <v>101</v>
      </c>
      <c r="W26" t="str">
        <f>"2008-09-01T00:00:00"</f>
        <v>2008-09-01T00:00:00</v>
      </c>
      <c r="X26" t="str">
        <f>"№55"</f>
        <v>№55</v>
      </c>
      <c r="Z26" t="s">
        <v>359</v>
      </c>
      <c r="AA26" t="s">
        <v>135</v>
      </c>
      <c r="AE26" t="s">
        <v>104</v>
      </c>
      <c r="AF26" t="s">
        <v>167</v>
      </c>
      <c r="AG26">
        <v>1.5</v>
      </c>
      <c r="AH26" t="s">
        <v>106</v>
      </c>
      <c r="AI26" t="s">
        <v>107</v>
      </c>
      <c r="AJ26" t="s">
        <v>108</v>
      </c>
      <c r="AM26" t="s">
        <v>109</v>
      </c>
      <c r="AN26" t="s">
        <v>110</v>
      </c>
      <c r="AO26" t="str">
        <f>"0"</f>
        <v>0</v>
      </c>
      <c r="AP26" t="str">
        <f>"13"</f>
        <v>13</v>
      </c>
      <c r="AQ26" t="str">
        <f>"12"</f>
        <v>12</v>
      </c>
      <c r="AR26" t="str">
        <f>"12"</f>
        <v>12</v>
      </c>
      <c r="AS26" t="str">
        <f>"13"</f>
        <v>13</v>
      </c>
      <c r="AT26" t="str">
        <f>"as1988_@mail.ru"</f>
        <v>as1988_@mail.ru</v>
      </c>
      <c r="AU26" t="str">
        <f>"87753509249"</f>
        <v>87753509249</v>
      </c>
      <c r="AV26" t="s">
        <v>136</v>
      </c>
      <c r="AW26" t="s">
        <v>296</v>
      </c>
      <c r="AX26" t="s">
        <v>113</v>
      </c>
      <c r="AY26" t="s">
        <v>169</v>
      </c>
      <c r="AZ26" t="s">
        <v>115</v>
      </c>
      <c r="BA26">
        <v>1.5</v>
      </c>
      <c r="BB26" t="s">
        <v>110</v>
      </c>
      <c r="BC26">
        <v>0</v>
      </c>
      <c r="BF26" t="s">
        <v>138</v>
      </c>
      <c r="BG26" t="str">
        <f>"236006010348"</f>
        <v>236006010348</v>
      </c>
      <c r="BH26" t="s">
        <v>119</v>
      </c>
      <c r="BI26" t="s">
        <v>120</v>
      </c>
      <c r="BJ26" t="s">
        <v>121</v>
      </c>
      <c r="BK26" t="s">
        <v>122</v>
      </c>
      <c r="BM26" t="s">
        <v>123</v>
      </c>
      <c r="BN26" t="s">
        <v>169</v>
      </c>
      <c r="BO26" t="s">
        <v>124</v>
      </c>
      <c r="BP26" t="s">
        <v>125</v>
      </c>
      <c r="BQ26" t="s">
        <v>249</v>
      </c>
      <c r="BR26">
        <v>120</v>
      </c>
      <c r="BS26" t="s">
        <v>361</v>
      </c>
      <c r="BT26" t="s">
        <v>273</v>
      </c>
      <c r="BU26">
        <v>65</v>
      </c>
      <c r="BV26" t="s">
        <v>117</v>
      </c>
      <c r="BW26" t="s">
        <v>362</v>
      </c>
      <c r="BX26" s="2">
        <v>44652</v>
      </c>
      <c r="CA26" t="str">
        <f t="shared" si="1"/>
        <v>0</v>
      </c>
      <c r="CD26" t="s">
        <v>121</v>
      </c>
      <c r="CF26" t="s">
        <v>130</v>
      </c>
      <c r="CG26" t="s">
        <v>110</v>
      </c>
    </row>
    <row r="27" spans="1:85" x14ac:dyDescent="0.3">
      <c r="A27">
        <v>185524</v>
      </c>
      <c r="B27">
        <v>159203</v>
      </c>
      <c r="C27" t="str">
        <f>"840605450343"</f>
        <v>840605450343</v>
      </c>
      <c r="D27" t="s">
        <v>366</v>
      </c>
      <c r="E27" t="s">
        <v>367</v>
      </c>
      <c r="F27" t="s">
        <v>368</v>
      </c>
      <c r="G27" s="1">
        <v>30838</v>
      </c>
      <c r="I27" t="s">
        <v>98</v>
      </c>
      <c r="J27" t="s">
        <v>99</v>
      </c>
      <c r="K27" t="s">
        <v>244</v>
      </c>
      <c r="P27" t="s">
        <v>146</v>
      </c>
      <c r="W27" t="str">
        <f>"2010-09-02T00:00:00"</f>
        <v>2010-09-02T00:00:00</v>
      </c>
      <c r="X27" t="str">
        <f>"№77"</f>
        <v>№77</v>
      </c>
      <c r="Z27" t="s">
        <v>359</v>
      </c>
      <c r="AA27" t="s">
        <v>103</v>
      </c>
      <c r="AE27" t="s">
        <v>104</v>
      </c>
      <c r="AF27" t="s">
        <v>105</v>
      </c>
      <c r="AG27">
        <v>1.5</v>
      </c>
      <c r="AH27" t="s">
        <v>106</v>
      </c>
      <c r="AI27" t="s">
        <v>107</v>
      </c>
      <c r="AJ27" t="s">
        <v>108</v>
      </c>
      <c r="AM27" t="s">
        <v>109</v>
      </c>
      <c r="AN27" t="s">
        <v>110</v>
      </c>
      <c r="AO27" t="str">
        <f>"2"</f>
        <v>2</v>
      </c>
      <c r="AP27" t="str">
        <f>"13"</f>
        <v>13</v>
      </c>
      <c r="AQ27" t="str">
        <f>"12"</f>
        <v>12</v>
      </c>
      <c r="AR27" t="str">
        <f>"12"</f>
        <v>12</v>
      </c>
      <c r="AS27" t="str">
        <f>"11"</f>
        <v>11</v>
      </c>
      <c r="AT27" t="str">
        <f>"nina05_06_84@mail.ru"</f>
        <v>nina05_06_84@mail.ru</v>
      </c>
      <c r="AU27" t="str">
        <f>"87013252102"</f>
        <v>87013252102</v>
      </c>
      <c r="AV27" t="s">
        <v>136</v>
      </c>
      <c r="AW27" t="s">
        <v>279</v>
      </c>
      <c r="AX27" t="s">
        <v>113</v>
      </c>
      <c r="AY27" t="s">
        <v>369</v>
      </c>
      <c r="AZ27" t="s">
        <v>115</v>
      </c>
      <c r="BA27">
        <v>1</v>
      </c>
      <c r="BB27" t="s">
        <v>105</v>
      </c>
      <c r="BC27">
        <v>0.5</v>
      </c>
      <c r="BD27" t="s">
        <v>305</v>
      </c>
      <c r="BE27">
        <v>0.5</v>
      </c>
      <c r="BF27" t="s">
        <v>138</v>
      </c>
      <c r="BG27" t="str">
        <f>"236006010366"</f>
        <v>236006010366</v>
      </c>
      <c r="BH27" t="s">
        <v>119</v>
      </c>
      <c r="BI27" t="s">
        <v>120</v>
      </c>
      <c r="BJ27" t="s">
        <v>121</v>
      </c>
      <c r="BK27" t="s">
        <v>122</v>
      </c>
      <c r="BM27" t="s">
        <v>297</v>
      </c>
      <c r="BN27" t="s">
        <v>369</v>
      </c>
      <c r="BO27" t="s">
        <v>124</v>
      </c>
      <c r="BP27" t="s">
        <v>125</v>
      </c>
      <c r="BQ27" t="s">
        <v>249</v>
      </c>
      <c r="BR27">
        <v>80</v>
      </c>
      <c r="BS27" t="s">
        <v>370</v>
      </c>
      <c r="BT27" t="s">
        <v>371</v>
      </c>
      <c r="BU27">
        <v>3495</v>
      </c>
      <c r="BV27" t="s">
        <v>117</v>
      </c>
      <c r="BW27" t="s">
        <v>372</v>
      </c>
      <c r="BX27" t="s">
        <v>162</v>
      </c>
      <c r="CA27" t="str">
        <f t="shared" si="1"/>
        <v>0</v>
      </c>
      <c r="CD27" t="s">
        <v>142</v>
      </c>
      <c r="CF27" t="s">
        <v>130</v>
      </c>
      <c r="CG27" t="s">
        <v>110</v>
      </c>
    </row>
    <row r="28" spans="1:85" x14ac:dyDescent="0.3">
      <c r="A28">
        <v>185540</v>
      </c>
      <c r="B28">
        <v>159214</v>
      </c>
      <c r="C28" t="str">
        <f>"670121401506"</f>
        <v>670121401506</v>
      </c>
      <c r="D28" t="s">
        <v>373</v>
      </c>
      <c r="E28" t="s">
        <v>277</v>
      </c>
      <c r="F28" t="s">
        <v>374</v>
      </c>
      <c r="G28" s="1">
        <v>24493</v>
      </c>
      <c r="I28" t="s">
        <v>98</v>
      </c>
      <c r="J28" t="s">
        <v>99</v>
      </c>
      <c r="K28" t="s">
        <v>100</v>
      </c>
      <c r="P28" t="s">
        <v>101</v>
      </c>
      <c r="W28" t="str">
        <f>"2012-09-01T00:00:00"</f>
        <v>2012-09-01T00:00:00</v>
      </c>
      <c r="X28" t="str">
        <f>"№56"</f>
        <v>№56</v>
      </c>
      <c r="Z28" t="s">
        <v>102</v>
      </c>
      <c r="AA28" t="s">
        <v>135</v>
      </c>
      <c r="AE28" t="s">
        <v>104</v>
      </c>
      <c r="AF28" t="s">
        <v>167</v>
      </c>
      <c r="AG28">
        <v>1.5</v>
      </c>
      <c r="AH28" t="s">
        <v>106</v>
      </c>
      <c r="AI28" t="s">
        <v>107</v>
      </c>
      <c r="AJ28" t="s">
        <v>108</v>
      </c>
      <c r="AM28" t="s">
        <v>109</v>
      </c>
      <c r="AN28" t="s">
        <v>110</v>
      </c>
      <c r="AO28" t="str">
        <f>"23"</f>
        <v>23</v>
      </c>
      <c r="AP28" t="str">
        <f>"32"</f>
        <v>32</v>
      </c>
      <c r="AQ28" t="str">
        <f>"31"</f>
        <v>31</v>
      </c>
      <c r="AR28" t="str">
        <f>"31"</f>
        <v>31</v>
      </c>
      <c r="AS28" t="str">
        <f>"9"</f>
        <v>9</v>
      </c>
      <c r="AT28" t="str">
        <f>"bagdatkabdula@gmail.com"</f>
        <v>bagdatkabdula@gmail.com</v>
      </c>
      <c r="AU28" t="str">
        <f>"87783028705"</f>
        <v>87783028705</v>
      </c>
      <c r="AV28" t="s">
        <v>337</v>
      </c>
      <c r="AW28" t="s">
        <v>375</v>
      </c>
      <c r="AX28" t="s">
        <v>113</v>
      </c>
      <c r="AY28" t="s">
        <v>169</v>
      </c>
      <c r="AZ28" t="s">
        <v>115</v>
      </c>
      <c r="BA28">
        <v>1.5</v>
      </c>
      <c r="BB28" t="s">
        <v>105</v>
      </c>
      <c r="BC28">
        <v>1.5</v>
      </c>
      <c r="BD28" t="s">
        <v>114</v>
      </c>
      <c r="BE28">
        <v>0.4</v>
      </c>
      <c r="BF28" t="s">
        <v>138</v>
      </c>
      <c r="BG28" t="str">
        <f>"236006010358"</f>
        <v>236006010358</v>
      </c>
      <c r="BH28" t="s">
        <v>119</v>
      </c>
      <c r="BI28" t="s">
        <v>120</v>
      </c>
      <c r="BJ28" t="s">
        <v>121</v>
      </c>
      <c r="BK28" t="s">
        <v>122</v>
      </c>
      <c r="BM28" t="s">
        <v>123</v>
      </c>
      <c r="BN28" t="s">
        <v>169</v>
      </c>
      <c r="BO28" t="s">
        <v>124</v>
      </c>
      <c r="BP28" t="s">
        <v>125</v>
      </c>
      <c r="BQ28" t="s">
        <v>249</v>
      </c>
      <c r="BR28">
        <v>120</v>
      </c>
      <c r="BS28" t="s">
        <v>376</v>
      </c>
      <c r="BT28" t="s">
        <v>273</v>
      </c>
      <c r="BU28">
        <v>74</v>
      </c>
      <c r="BV28" t="s">
        <v>117</v>
      </c>
      <c r="BW28" t="s">
        <v>377</v>
      </c>
      <c r="BX28" s="2">
        <v>44652</v>
      </c>
      <c r="CA28" t="str">
        <f t="shared" si="1"/>
        <v>0</v>
      </c>
      <c r="CD28" t="s">
        <v>121</v>
      </c>
      <c r="CF28" t="s">
        <v>130</v>
      </c>
      <c r="CG28" t="s">
        <v>110</v>
      </c>
    </row>
    <row r="29" spans="1:85" x14ac:dyDescent="0.3">
      <c r="A29">
        <v>185544</v>
      </c>
      <c r="B29">
        <v>159216</v>
      </c>
      <c r="C29" t="str">
        <f>"800407401807"</f>
        <v>800407401807</v>
      </c>
      <c r="D29" t="s">
        <v>378</v>
      </c>
      <c r="E29" t="s">
        <v>379</v>
      </c>
      <c r="F29" t="s">
        <v>380</v>
      </c>
      <c r="G29" s="1">
        <v>29318</v>
      </c>
      <c r="I29" t="s">
        <v>98</v>
      </c>
      <c r="J29" t="s">
        <v>99</v>
      </c>
      <c r="K29" t="s">
        <v>100</v>
      </c>
      <c r="P29" t="s">
        <v>101</v>
      </c>
      <c r="W29" t="str">
        <f>"2012-09-01T00:00:00"</f>
        <v>2012-09-01T00:00:00</v>
      </c>
      <c r="X29" t="str">
        <f>"№60"</f>
        <v>№60</v>
      </c>
      <c r="Z29" t="s">
        <v>102</v>
      </c>
      <c r="AA29" t="s">
        <v>135</v>
      </c>
      <c r="AE29" t="s">
        <v>104</v>
      </c>
      <c r="AF29" t="s">
        <v>167</v>
      </c>
      <c r="AG29">
        <v>1</v>
      </c>
      <c r="AH29" t="s">
        <v>106</v>
      </c>
      <c r="AI29" t="s">
        <v>107</v>
      </c>
      <c r="AJ29" t="s">
        <v>108</v>
      </c>
      <c r="AM29" t="s">
        <v>109</v>
      </c>
      <c r="AN29" t="s">
        <v>110</v>
      </c>
      <c r="AO29" t="str">
        <f>"9"</f>
        <v>9</v>
      </c>
      <c r="AP29" t="str">
        <f>"18"</f>
        <v>18</v>
      </c>
      <c r="AQ29" t="str">
        <f>"17"</f>
        <v>17</v>
      </c>
      <c r="AR29" t="str">
        <f>"17"</f>
        <v>17</v>
      </c>
      <c r="AS29" t="str">
        <f>"9"</f>
        <v>9</v>
      </c>
      <c r="AT29" t="str">
        <f>"2708.akmaral@gmail.ru"</f>
        <v>2708.akmaral@gmail.ru</v>
      </c>
      <c r="AU29" t="str">
        <f>"87779565791"</f>
        <v>87779565791</v>
      </c>
      <c r="AV29" t="s">
        <v>136</v>
      </c>
      <c r="AW29" t="s">
        <v>112</v>
      </c>
      <c r="AX29" t="s">
        <v>113</v>
      </c>
      <c r="AY29" t="s">
        <v>169</v>
      </c>
      <c r="AZ29" t="s">
        <v>115</v>
      </c>
      <c r="BA29">
        <v>1</v>
      </c>
      <c r="BB29" t="s">
        <v>210</v>
      </c>
      <c r="BC29">
        <v>0.5</v>
      </c>
      <c r="BD29" t="s">
        <v>117</v>
      </c>
      <c r="BE29">
        <v>0</v>
      </c>
      <c r="BF29" t="s">
        <v>138</v>
      </c>
      <c r="BG29" t="str">
        <f>"236006010376"</f>
        <v>236006010376</v>
      </c>
      <c r="BH29" t="s">
        <v>119</v>
      </c>
      <c r="BI29" t="s">
        <v>120</v>
      </c>
      <c r="BJ29" t="s">
        <v>121</v>
      </c>
      <c r="BK29" t="s">
        <v>122</v>
      </c>
      <c r="BM29" t="s">
        <v>123</v>
      </c>
      <c r="BN29" t="s">
        <v>169</v>
      </c>
      <c r="BO29" t="s">
        <v>124</v>
      </c>
      <c r="BP29" t="s">
        <v>125</v>
      </c>
      <c r="BQ29" t="s">
        <v>249</v>
      </c>
      <c r="BR29">
        <v>120</v>
      </c>
      <c r="BS29" t="s">
        <v>361</v>
      </c>
      <c r="BT29" t="s">
        <v>273</v>
      </c>
      <c r="BU29">
        <v>81</v>
      </c>
      <c r="BV29" t="s">
        <v>117</v>
      </c>
      <c r="BW29" t="s">
        <v>129</v>
      </c>
      <c r="CA29" t="str">
        <f t="shared" si="1"/>
        <v>0</v>
      </c>
      <c r="CD29" t="s">
        <v>121</v>
      </c>
      <c r="CF29" t="s">
        <v>130</v>
      </c>
      <c r="CG29" t="s">
        <v>110</v>
      </c>
    </row>
    <row r="30" spans="1:85" x14ac:dyDescent="0.3">
      <c r="A30">
        <v>185550</v>
      </c>
      <c r="B30">
        <v>159221</v>
      </c>
      <c r="C30" t="str">
        <f>"640113400826"</f>
        <v>640113400826</v>
      </c>
      <c r="D30" t="s">
        <v>381</v>
      </c>
      <c r="E30" t="s">
        <v>382</v>
      </c>
      <c r="F30" t="s">
        <v>383</v>
      </c>
      <c r="G30" s="1">
        <v>23389</v>
      </c>
      <c r="I30" t="s">
        <v>98</v>
      </c>
      <c r="J30" t="s">
        <v>99</v>
      </c>
      <c r="K30" t="s">
        <v>244</v>
      </c>
      <c r="P30" t="s">
        <v>146</v>
      </c>
      <c r="W30" t="str">
        <f>"1988-10-05T00:00:00"</f>
        <v>1988-10-05T00:00:00</v>
      </c>
      <c r="X30" t="str">
        <f>"№34"</f>
        <v>№34</v>
      </c>
      <c r="Z30" t="s">
        <v>134</v>
      </c>
      <c r="AA30" t="s">
        <v>135</v>
      </c>
      <c r="AE30" t="s">
        <v>104</v>
      </c>
      <c r="AF30" t="s">
        <v>105</v>
      </c>
      <c r="AG30">
        <v>1</v>
      </c>
      <c r="AH30" t="s">
        <v>106</v>
      </c>
      <c r="AI30" t="s">
        <v>107</v>
      </c>
      <c r="AJ30" t="s">
        <v>108</v>
      </c>
      <c r="AM30" t="s">
        <v>109</v>
      </c>
      <c r="AN30" t="s">
        <v>110</v>
      </c>
      <c r="AO30" t="str">
        <f>"0"</f>
        <v>0</v>
      </c>
      <c r="AP30" t="str">
        <f>"33"</f>
        <v>33</v>
      </c>
      <c r="AQ30" t="str">
        <f>"13"</f>
        <v>13</v>
      </c>
      <c r="AR30" t="str">
        <f>"13"</f>
        <v>13</v>
      </c>
      <c r="AS30" t="str">
        <f>"33"</f>
        <v>33</v>
      </c>
      <c r="AT30" t="str">
        <f>"nta_64@bk.ru"</f>
        <v>nta_64@bk.ru</v>
      </c>
      <c r="AU30" t="str">
        <f>"87011941240"</f>
        <v>87011941240</v>
      </c>
      <c r="AV30" t="s">
        <v>168</v>
      </c>
      <c r="AW30" t="s">
        <v>360</v>
      </c>
      <c r="AX30" t="s">
        <v>113</v>
      </c>
      <c r="AY30" t="s">
        <v>150</v>
      </c>
      <c r="AZ30" t="s">
        <v>115</v>
      </c>
      <c r="BA30">
        <v>0.4</v>
      </c>
      <c r="BB30" t="s">
        <v>384</v>
      </c>
      <c r="BC30">
        <v>1</v>
      </c>
      <c r="BF30" t="s">
        <v>118</v>
      </c>
      <c r="BG30" t="str">
        <f>"236006010072"</f>
        <v>236006010072</v>
      </c>
      <c r="BH30" t="s">
        <v>119</v>
      </c>
      <c r="BI30" t="s">
        <v>120</v>
      </c>
      <c r="BJ30" t="s">
        <v>121</v>
      </c>
      <c r="BK30" t="s">
        <v>122</v>
      </c>
      <c r="BM30" t="s">
        <v>385</v>
      </c>
      <c r="BV30" t="s">
        <v>117</v>
      </c>
      <c r="BW30" t="s">
        <v>386</v>
      </c>
      <c r="BX30" t="s">
        <v>162</v>
      </c>
      <c r="CA30" t="str">
        <f t="shared" si="1"/>
        <v>0</v>
      </c>
      <c r="CD30" t="s">
        <v>142</v>
      </c>
      <c r="CF30" t="s">
        <v>130</v>
      </c>
      <c r="CG30" t="s">
        <v>110</v>
      </c>
    </row>
    <row r="31" spans="1:85" x14ac:dyDescent="0.3">
      <c r="A31">
        <v>185555</v>
      </c>
      <c r="B31">
        <v>159224</v>
      </c>
      <c r="C31" t="str">
        <f>"680615450383"</f>
        <v>680615450383</v>
      </c>
      <c r="D31" t="s">
        <v>387</v>
      </c>
      <c r="E31" t="s">
        <v>231</v>
      </c>
      <c r="F31" t="s">
        <v>388</v>
      </c>
      <c r="G31" s="1">
        <v>25004</v>
      </c>
      <c r="I31" t="s">
        <v>98</v>
      </c>
      <c r="J31" t="s">
        <v>99</v>
      </c>
      <c r="K31" t="s">
        <v>100</v>
      </c>
      <c r="P31" t="s">
        <v>101</v>
      </c>
      <c r="W31" t="str">
        <f>"2010-09-01T00:00:00"</f>
        <v>2010-09-01T00:00:00</v>
      </c>
      <c r="X31" t="str">
        <f>"№15"</f>
        <v>№15</v>
      </c>
      <c r="Z31" t="s">
        <v>134</v>
      </c>
      <c r="AA31" t="s">
        <v>135</v>
      </c>
      <c r="AE31" t="s">
        <v>104</v>
      </c>
      <c r="AF31" t="s">
        <v>389</v>
      </c>
      <c r="AG31">
        <v>1</v>
      </c>
      <c r="AH31" t="s">
        <v>106</v>
      </c>
      <c r="AI31" t="s">
        <v>107</v>
      </c>
      <c r="AJ31" t="s">
        <v>108</v>
      </c>
      <c r="AM31" t="s">
        <v>109</v>
      </c>
      <c r="AN31" t="s">
        <v>110</v>
      </c>
      <c r="AO31" t="str">
        <f>"0"</f>
        <v>0</v>
      </c>
      <c r="AP31" t="str">
        <f>"11"</f>
        <v>11</v>
      </c>
      <c r="AQ31" t="str">
        <f>"10"</f>
        <v>10</v>
      </c>
      <c r="AR31" t="str">
        <f>"10"</f>
        <v>10</v>
      </c>
      <c r="AS31" t="str">
        <f>"11"</f>
        <v>11</v>
      </c>
      <c r="AT31" t="str">
        <f>"kzanna1968@mail.ru"</f>
        <v>kzanna1968@mail.ru</v>
      </c>
      <c r="AU31" t="str">
        <f>"87021996459"</f>
        <v>87021996459</v>
      </c>
      <c r="AV31" t="s">
        <v>390</v>
      </c>
      <c r="AX31" t="s">
        <v>113</v>
      </c>
      <c r="BB31" t="s">
        <v>110</v>
      </c>
      <c r="BC31">
        <v>0</v>
      </c>
      <c r="BF31" t="s">
        <v>280</v>
      </c>
      <c r="BJ31" t="s">
        <v>121</v>
      </c>
      <c r="BK31" t="s">
        <v>122</v>
      </c>
      <c r="BM31" t="s">
        <v>123</v>
      </c>
      <c r="BN31" t="s">
        <v>160</v>
      </c>
      <c r="BO31" t="s">
        <v>391</v>
      </c>
      <c r="BP31" t="s">
        <v>125</v>
      </c>
      <c r="BQ31" t="s">
        <v>249</v>
      </c>
      <c r="BR31">
        <v>80</v>
      </c>
      <c r="BS31" t="s">
        <v>392</v>
      </c>
      <c r="BT31" t="s">
        <v>393</v>
      </c>
      <c r="BU31">
        <v>215511</v>
      </c>
      <c r="BV31" t="s">
        <v>117</v>
      </c>
      <c r="BW31" t="s">
        <v>129</v>
      </c>
      <c r="CD31" t="s">
        <v>142</v>
      </c>
      <c r="CF31" t="s">
        <v>130</v>
      </c>
      <c r="CG31" t="s">
        <v>110</v>
      </c>
    </row>
    <row r="32" spans="1:85" x14ac:dyDescent="0.3">
      <c r="A32">
        <v>185570</v>
      </c>
      <c r="B32">
        <v>159235</v>
      </c>
      <c r="C32" t="str">
        <f>"850604450469"</f>
        <v>850604450469</v>
      </c>
      <c r="D32" t="s">
        <v>394</v>
      </c>
      <c r="E32" t="s">
        <v>395</v>
      </c>
      <c r="G32" s="1">
        <v>31202</v>
      </c>
      <c r="I32" t="s">
        <v>98</v>
      </c>
      <c r="J32" t="s">
        <v>99</v>
      </c>
      <c r="K32" t="s">
        <v>100</v>
      </c>
      <c r="P32" t="s">
        <v>101</v>
      </c>
      <c r="W32" t="str">
        <f>"2015-09-01T00:00:00"</f>
        <v>2015-09-01T00:00:00</v>
      </c>
      <c r="X32" t="str">
        <f>"№53"</f>
        <v>№53</v>
      </c>
      <c r="Z32" t="s">
        <v>134</v>
      </c>
      <c r="AA32" t="s">
        <v>135</v>
      </c>
      <c r="AE32" t="s">
        <v>104</v>
      </c>
      <c r="AF32" t="s">
        <v>105</v>
      </c>
      <c r="AG32">
        <v>1.5</v>
      </c>
      <c r="AH32" t="s">
        <v>106</v>
      </c>
      <c r="AI32" t="s">
        <v>107</v>
      </c>
      <c r="AJ32" t="s">
        <v>108</v>
      </c>
      <c r="AM32" t="s">
        <v>109</v>
      </c>
      <c r="AN32" t="s">
        <v>110</v>
      </c>
      <c r="AO32" t="str">
        <f>"0"</f>
        <v>0</v>
      </c>
      <c r="AP32" t="str">
        <f>"6"</f>
        <v>6</v>
      </c>
      <c r="AQ32" t="str">
        <f>"5"</f>
        <v>5</v>
      </c>
      <c r="AR32" t="str">
        <f>"5"</f>
        <v>5</v>
      </c>
      <c r="AS32" t="str">
        <f>"6"</f>
        <v>6</v>
      </c>
      <c r="AT32" t="str">
        <f>"Gidrisova-1985@mail.ru"</f>
        <v>Gidrisova-1985@mail.ru</v>
      </c>
      <c r="AU32" t="str">
        <f>"87783533062"</f>
        <v>87783533062</v>
      </c>
      <c r="AV32" t="s">
        <v>168</v>
      </c>
      <c r="AW32" t="s">
        <v>112</v>
      </c>
      <c r="AX32" t="s">
        <v>113</v>
      </c>
      <c r="AY32" t="s">
        <v>114</v>
      </c>
      <c r="AZ32" t="s">
        <v>115</v>
      </c>
      <c r="BA32">
        <v>1.5</v>
      </c>
      <c r="BB32" t="s">
        <v>110</v>
      </c>
      <c r="BC32">
        <v>0</v>
      </c>
      <c r="BF32" t="s">
        <v>138</v>
      </c>
      <c r="BG32" t="str">
        <f>"236006010360"</f>
        <v>236006010360</v>
      </c>
      <c r="BH32" t="s">
        <v>119</v>
      </c>
      <c r="BI32" t="s">
        <v>120</v>
      </c>
      <c r="BJ32" t="s">
        <v>121</v>
      </c>
      <c r="BK32" t="s">
        <v>122</v>
      </c>
      <c r="BM32" t="s">
        <v>123</v>
      </c>
      <c r="BN32" t="s">
        <v>114</v>
      </c>
      <c r="BO32" t="s">
        <v>124</v>
      </c>
      <c r="BP32" t="s">
        <v>125</v>
      </c>
      <c r="BQ32" t="s">
        <v>126</v>
      </c>
      <c r="BR32">
        <v>160</v>
      </c>
      <c r="BS32" t="s">
        <v>396</v>
      </c>
      <c r="BT32" t="s">
        <v>397</v>
      </c>
      <c r="BU32">
        <v>65962</v>
      </c>
      <c r="BV32" t="s">
        <v>117</v>
      </c>
      <c r="BW32" t="s">
        <v>398</v>
      </c>
      <c r="BX32" s="2">
        <v>44652</v>
      </c>
      <c r="CA32" t="str">
        <f>"0"</f>
        <v>0</v>
      </c>
      <c r="CD32" t="s">
        <v>121</v>
      </c>
      <c r="CF32" t="s">
        <v>130</v>
      </c>
      <c r="CG32" t="s">
        <v>110</v>
      </c>
    </row>
    <row r="33" spans="1:85" x14ac:dyDescent="0.3">
      <c r="A33">
        <v>185574</v>
      </c>
      <c r="B33">
        <v>159238</v>
      </c>
      <c r="C33" t="str">
        <f>"650917400541"</f>
        <v>650917400541</v>
      </c>
      <c r="D33" t="s">
        <v>399</v>
      </c>
      <c r="E33" t="s">
        <v>132</v>
      </c>
      <c r="F33" t="s">
        <v>400</v>
      </c>
      <c r="G33" s="1">
        <v>24002</v>
      </c>
      <c r="I33" t="s">
        <v>98</v>
      </c>
      <c r="J33" t="s">
        <v>99</v>
      </c>
      <c r="K33" t="s">
        <v>100</v>
      </c>
      <c r="P33" t="s">
        <v>101</v>
      </c>
      <c r="W33" t="str">
        <f>"2007-09-01T00:00:00"</f>
        <v>2007-09-01T00:00:00</v>
      </c>
      <c r="X33" t="str">
        <f>"№34"</f>
        <v>№34</v>
      </c>
      <c r="Z33" t="s">
        <v>401</v>
      </c>
      <c r="AA33" t="s">
        <v>135</v>
      </c>
      <c r="AE33" t="s">
        <v>104</v>
      </c>
      <c r="AF33" t="s">
        <v>402</v>
      </c>
      <c r="AG33">
        <v>1</v>
      </c>
      <c r="AH33" t="s">
        <v>106</v>
      </c>
      <c r="AI33" t="s">
        <v>107</v>
      </c>
      <c r="AJ33" t="s">
        <v>403</v>
      </c>
      <c r="AM33" t="s">
        <v>205</v>
      </c>
      <c r="AO33" t="str">
        <f>"23"</f>
        <v>23</v>
      </c>
      <c r="AP33" t="str">
        <f>"37"</f>
        <v>37</v>
      </c>
      <c r="AR33" t="str">
        <f>"0"</f>
        <v>0</v>
      </c>
      <c r="AS33" t="str">
        <f>"14"</f>
        <v>14</v>
      </c>
      <c r="AX33" t="s">
        <v>129</v>
      </c>
      <c r="BB33" t="s">
        <v>246</v>
      </c>
      <c r="BC33">
        <v>0.5</v>
      </c>
      <c r="BW33" t="s">
        <v>129</v>
      </c>
    </row>
    <row r="34" spans="1:85" x14ac:dyDescent="0.3">
      <c r="A34">
        <v>185590</v>
      </c>
      <c r="B34">
        <v>159252</v>
      </c>
      <c r="C34" t="str">
        <f>"730205450138"</f>
        <v>730205450138</v>
      </c>
      <c r="D34" t="s">
        <v>404</v>
      </c>
      <c r="E34" t="s">
        <v>405</v>
      </c>
      <c r="F34" t="s">
        <v>184</v>
      </c>
      <c r="G34" s="1">
        <v>26700</v>
      </c>
      <c r="I34" t="s">
        <v>98</v>
      </c>
      <c r="J34" t="s">
        <v>99</v>
      </c>
      <c r="K34" t="s">
        <v>100</v>
      </c>
      <c r="P34" t="s">
        <v>101</v>
      </c>
      <c r="W34" t="str">
        <f>"2002-09-20T00:00:00"</f>
        <v>2002-09-20T00:00:00</v>
      </c>
      <c r="X34" t="str">
        <f>"№12"</f>
        <v>№12</v>
      </c>
      <c r="Z34" t="s">
        <v>134</v>
      </c>
      <c r="AA34" t="s">
        <v>135</v>
      </c>
      <c r="AE34" t="s">
        <v>104</v>
      </c>
      <c r="AF34" t="s">
        <v>406</v>
      </c>
      <c r="AG34">
        <v>1.5</v>
      </c>
      <c r="AH34" t="s">
        <v>106</v>
      </c>
      <c r="AI34" t="s">
        <v>107</v>
      </c>
      <c r="AJ34" t="s">
        <v>407</v>
      </c>
      <c r="AM34" t="s">
        <v>205</v>
      </c>
      <c r="AO34" t="str">
        <f>"1"</f>
        <v>1</v>
      </c>
      <c r="AP34" t="str">
        <f>"19"</f>
        <v>19</v>
      </c>
      <c r="AR34" t="str">
        <f>"0"</f>
        <v>0</v>
      </c>
      <c r="AS34" t="str">
        <f>"18"</f>
        <v>18</v>
      </c>
      <c r="AX34" t="s">
        <v>129</v>
      </c>
      <c r="BB34" t="s">
        <v>110</v>
      </c>
      <c r="BC34">
        <v>0</v>
      </c>
      <c r="BW34" t="s">
        <v>129</v>
      </c>
    </row>
    <row r="35" spans="1:85" x14ac:dyDescent="0.3">
      <c r="A35">
        <v>185603</v>
      </c>
      <c r="B35">
        <v>128817</v>
      </c>
      <c r="C35" t="str">
        <f>"670502350132"</f>
        <v>670502350132</v>
      </c>
      <c r="D35" t="s">
        <v>408</v>
      </c>
      <c r="E35" t="s">
        <v>409</v>
      </c>
      <c r="F35" t="s">
        <v>410</v>
      </c>
      <c r="G35" s="1">
        <v>24594</v>
      </c>
      <c r="I35" t="s">
        <v>200</v>
      </c>
      <c r="J35" t="s">
        <v>99</v>
      </c>
      <c r="K35" t="s">
        <v>100</v>
      </c>
      <c r="P35" t="s">
        <v>201</v>
      </c>
      <c r="Q35" t="s">
        <v>142</v>
      </c>
      <c r="W35" t="str">
        <f>"2015-09-01T00:00:00"</f>
        <v>2015-09-01T00:00:00</v>
      </c>
      <c r="X35" t="str">
        <f>"№55"</f>
        <v>№55</v>
      </c>
      <c r="Z35" t="s">
        <v>147</v>
      </c>
      <c r="AA35" t="s">
        <v>135</v>
      </c>
      <c r="AE35" t="s">
        <v>104</v>
      </c>
      <c r="AF35" t="s">
        <v>105</v>
      </c>
      <c r="AG35">
        <v>1</v>
      </c>
      <c r="AH35" t="s">
        <v>106</v>
      </c>
      <c r="AI35" t="s">
        <v>107</v>
      </c>
      <c r="AJ35" t="s">
        <v>108</v>
      </c>
      <c r="AM35" t="s">
        <v>109</v>
      </c>
      <c r="AN35" t="s">
        <v>110</v>
      </c>
      <c r="AO35" t="str">
        <f>"21"</f>
        <v>21</v>
      </c>
      <c r="AP35" t="str">
        <f>"27"</f>
        <v>27</v>
      </c>
      <c r="AQ35" t="str">
        <f>"26"</f>
        <v>26</v>
      </c>
      <c r="AR35" t="str">
        <f>"26"</f>
        <v>26</v>
      </c>
      <c r="AS35" t="str">
        <f>"6"</f>
        <v>6</v>
      </c>
      <c r="AT35" t="str">
        <f>"Erlan_@mail.ru"</f>
        <v>Erlan_@mail.ru</v>
      </c>
      <c r="AU35" t="str">
        <f>"87757405750"</f>
        <v>87757405750</v>
      </c>
      <c r="AV35" t="s">
        <v>136</v>
      </c>
      <c r="AW35" t="s">
        <v>360</v>
      </c>
      <c r="AX35" t="s">
        <v>113</v>
      </c>
      <c r="AY35" t="s">
        <v>150</v>
      </c>
      <c r="AZ35" t="s">
        <v>115</v>
      </c>
      <c r="BA35">
        <v>1</v>
      </c>
      <c r="BB35" t="s">
        <v>110</v>
      </c>
      <c r="BC35">
        <v>0</v>
      </c>
      <c r="BF35" t="s">
        <v>138</v>
      </c>
      <c r="BG35" t="str">
        <f>"236006010350"</f>
        <v>236006010350</v>
      </c>
      <c r="BH35" t="s">
        <v>119</v>
      </c>
      <c r="BI35" t="s">
        <v>120</v>
      </c>
      <c r="BJ35" t="s">
        <v>121</v>
      </c>
      <c r="BK35" t="s">
        <v>122</v>
      </c>
      <c r="BM35" t="s">
        <v>385</v>
      </c>
      <c r="BV35" t="s">
        <v>117</v>
      </c>
      <c r="BW35" t="s">
        <v>411</v>
      </c>
      <c r="BX35" t="s">
        <v>162</v>
      </c>
      <c r="CA35" t="str">
        <f>"0"</f>
        <v>0</v>
      </c>
      <c r="CD35" t="s">
        <v>142</v>
      </c>
      <c r="CF35" t="s">
        <v>130</v>
      </c>
      <c r="CG35" t="s">
        <v>110</v>
      </c>
    </row>
    <row r="36" spans="1:85" x14ac:dyDescent="0.3">
      <c r="A36">
        <v>185609</v>
      </c>
      <c r="B36">
        <v>159269</v>
      </c>
      <c r="C36" t="str">
        <f>"820327350461"</f>
        <v>820327350461</v>
      </c>
      <c r="D36" t="s">
        <v>412</v>
      </c>
      <c r="E36" t="s">
        <v>413</v>
      </c>
      <c r="F36" t="s">
        <v>414</v>
      </c>
      <c r="G36" s="1">
        <v>30037</v>
      </c>
      <c r="I36" t="s">
        <v>200</v>
      </c>
      <c r="J36" t="s">
        <v>99</v>
      </c>
      <c r="K36" t="s">
        <v>100</v>
      </c>
      <c r="P36" t="s">
        <v>101</v>
      </c>
      <c r="W36" t="str">
        <f>"2016-03-01T00:00:00"</f>
        <v>2016-03-01T00:00:00</v>
      </c>
      <c r="X36" t="str">
        <f>"№16"</f>
        <v>№16</v>
      </c>
      <c r="Z36" t="s">
        <v>415</v>
      </c>
      <c r="AA36" t="s">
        <v>135</v>
      </c>
      <c r="AE36" t="s">
        <v>104</v>
      </c>
      <c r="AF36" t="s">
        <v>105</v>
      </c>
      <c r="AG36">
        <v>0.5</v>
      </c>
      <c r="AH36" t="s">
        <v>106</v>
      </c>
      <c r="AI36" t="s">
        <v>107</v>
      </c>
      <c r="AJ36" t="s">
        <v>108</v>
      </c>
      <c r="AM36" t="s">
        <v>109</v>
      </c>
      <c r="AN36" t="s">
        <v>110</v>
      </c>
      <c r="AO36" t="str">
        <f>"9"</f>
        <v>9</v>
      </c>
      <c r="AP36" t="str">
        <f>"14"</f>
        <v>14</v>
      </c>
      <c r="AQ36" t="str">
        <f>"13"</f>
        <v>13</v>
      </c>
      <c r="AR36" t="str">
        <f>"13"</f>
        <v>13</v>
      </c>
      <c r="AS36" t="str">
        <f>"5"</f>
        <v>5</v>
      </c>
      <c r="AT36" t="str">
        <f>"o.d.m_kz@mail.ru"</f>
        <v>o.d.m_kz@mail.ru</v>
      </c>
      <c r="AU36" t="str">
        <f>"87012613236"</f>
        <v>87012613236</v>
      </c>
      <c r="AV36" t="s">
        <v>111</v>
      </c>
      <c r="AW36" t="s">
        <v>137</v>
      </c>
      <c r="AX36" t="s">
        <v>113</v>
      </c>
      <c r="AY36" t="s">
        <v>416</v>
      </c>
      <c r="AZ36" t="s">
        <v>115</v>
      </c>
      <c r="BA36">
        <v>1</v>
      </c>
      <c r="BB36" t="s">
        <v>210</v>
      </c>
      <c r="BC36">
        <v>0.5</v>
      </c>
      <c r="BD36" t="s">
        <v>117</v>
      </c>
      <c r="BE36">
        <v>0</v>
      </c>
      <c r="BF36" t="s">
        <v>118</v>
      </c>
      <c r="BG36" t="str">
        <f>"236006010067"</f>
        <v>236006010067</v>
      </c>
      <c r="BH36" t="s">
        <v>119</v>
      </c>
      <c r="BI36" t="s">
        <v>120</v>
      </c>
      <c r="BJ36" t="s">
        <v>121</v>
      </c>
      <c r="BK36" t="s">
        <v>122</v>
      </c>
      <c r="BM36" t="s">
        <v>347</v>
      </c>
      <c r="BN36" t="s">
        <v>417</v>
      </c>
      <c r="BO36" t="s">
        <v>418</v>
      </c>
      <c r="BP36" t="s">
        <v>350</v>
      </c>
      <c r="BQ36" t="s">
        <v>175</v>
      </c>
      <c r="BR36" t="s">
        <v>419</v>
      </c>
      <c r="BS36" t="s">
        <v>420</v>
      </c>
      <c r="BT36" t="s">
        <v>421</v>
      </c>
      <c r="BU36" t="s">
        <v>422</v>
      </c>
      <c r="BV36" t="s">
        <v>117</v>
      </c>
      <c r="BW36" t="s">
        <v>129</v>
      </c>
      <c r="CA36" t="str">
        <f>"0"</f>
        <v>0</v>
      </c>
      <c r="CD36" t="s">
        <v>142</v>
      </c>
      <c r="CF36" t="s">
        <v>130</v>
      </c>
      <c r="CG36" t="s">
        <v>110</v>
      </c>
    </row>
    <row r="37" spans="1:85" x14ac:dyDescent="0.3">
      <c r="A37">
        <v>185617</v>
      </c>
      <c r="B37">
        <v>159276</v>
      </c>
      <c r="C37" t="str">
        <f>"861209450575"</f>
        <v>861209450575</v>
      </c>
      <c r="D37" t="s">
        <v>423</v>
      </c>
      <c r="E37" t="s">
        <v>424</v>
      </c>
      <c r="F37" t="s">
        <v>425</v>
      </c>
      <c r="G37" s="1">
        <v>31755</v>
      </c>
      <c r="I37" t="s">
        <v>98</v>
      </c>
      <c r="J37" t="s">
        <v>99</v>
      </c>
      <c r="K37" t="s">
        <v>244</v>
      </c>
      <c r="P37" t="s">
        <v>101</v>
      </c>
      <c r="W37" t="str">
        <f>"2011-10-01T00:00:00"</f>
        <v>2011-10-01T00:00:00</v>
      </c>
      <c r="X37" t="str">
        <f>"№64"</f>
        <v>№64</v>
      </c>
      <c r="Z37" t="s">
        <v>202</v>
      </c>
      <c r="AA37" t="s">
        <v>135</v>
      </c>
      <c r="AE37" t="s">
        <v>104</v>
      </c>
      <c r="AF37" t="s">
        <v>246</v>
      </c>
      <c r="AG37">
        <v>1</v>
      </c>
      <c r="AH37" t="s">
        <v>106</v>
      </c>
      <c r="AI37" t="s">
        <v>107</v>
      </c>
      <c r="AJ37" t="s">
        <v>204</v>
      </c>
      <c r="AM37" t="s">
        <v>205</v>
      </c>
      <c r="AO37" t="str">
        <f>"2"</f>
        <v>2</v>
      </c>
      <c r="AP37" t="str">
        <f>"11"</f>
        <v>11</v>
      </c>
      <c r="AR37" t="str">
        <f>"0"</f>
        <v>0</v>
      </c>
      <c r="AS37" t="str">
        <f>"9"</f>
        <v>9</v>
      </c>
      <c r="AX37" t="s">
        <v>129</v>
      </c>
      <c r="BB37" t="s">
        <v>110</v>
      </c>
      <c r="BC37">
        <v>0</v>
      </c>
      <c r="BW37" t="s">
        <v>129</v>
      </c>
    </row>
    <row r="38" spans="1:85" x14ac:dyDescent="0.3">
      <c r="A38">
        <v>185652</v>
      </c>
      <c r="B38">
        <v>61543</v>
      </c>
      <c r="C38" t="str">
        <f>"900726451610"</f>
        <v>900726451610</v>
      </c>
      <c r="D38" t="s">
        <v>426</v>
      </c>
      <c r="E38" t="s">
        <v>427</v>
      </c>
      <c r="F38" t="s">
        <v>428</v>
      </c>
      <c r="G38" s="1">
        <v>33080</v>
      </c>
      <c r="I38" t="s">
        <v>98</v>
      </c>
      <c r="J38" t="s">
        <v>99</v>
      </c>
      <c r="K38" t="s">
        <v>209</v>
      </c>
      <c r="P38" t="s">
        <v>146</v>
      </c>
      <c r="W38" t="str">
        <f>"2018-02-09T00:00:00"</f>
        <v>2018-02-09T00:00:00</v>
      </c>
      <c r="X38" t="str">
        <f>"№16"</f>
        <v>№16</v>
      </c>
      <c r="Z38" t="s">
        <v>102</v>
      </c>
      <c r="AA38" t="s">
        <v>135</v>
      </c>
      <c r="AE38" t="s">
        <v>104</v>
      </c>
      <c r="AF38" t="s">
        <v>105</v>
      </c>
      <c r="AG38">
        <v>1.5</v>
      </c>
      <c r="AH38" t="s">
        <v>106</v>
      </c>
      <c r="AI38" t="s">
        <v>107</v>
      </c>
      <c r="AJ38" t="s">
        <v>108</v>
      </c>
      <c r="AM38" t="s">
        <v>109</v>
      </c>
      <c r="AN38" t="s">
        <v>110</v>
      </c>
      <c r="AO38" t="str">
        <f>"4"</f>
        <v>4</v>
      </c>
      <c r="AP38" t="str">
        <f>"8"</f>
        <v>8</v>
      </c>
      <c r="AQ38" t="str">
        <f>"2"</f>
        <v>2</v>
      </c>
      <c r="AR38" t="str">
        <f>"2"</f>
        <v>2</v>
      </c>
      <c r="AS38" t="str">
        <f>"4"</f>
        <v>4</v>
      </c>
      <c r="AT38" t="str">
        <f>"Pro100anna@inbox.ru"</f>
        <v>Pro100anna@inbox.ru</v>
      </c>
      <c r="AU38" t="str">
        <f>"87054236570"</f>
        <v>87054236570</v>
      </c>
      <c r="AV38" t="s">
        <v>168</v>
      </c>
      <c r="AW38" t="s">
        <v>279</v>
      </c>
      <c r="AX38" t="s">
        <v>113</v>
      </c>
      <c r="AY38" t="s">
        <v>429</v>
      </c>
      <c r="AZ38" t="s">
        <v>115</v>
      </c>
      <c r="BA38">
        <v>1.5</v>
      </c>
      <c r="BB38" t="s">
        <v>110</v>
      </c>
      <c r="BC38">
        <v>0</v>
      </c>
      <c r="BF38" t="s">
        <v>138</v>
      </c>
      <c r="BG38" t="str">
        <f>"236006010382"</f>
        <v>236006010382</v>
      </c>
      <c r="BH38" t="s">
        <v>119</v>
      </c>
      <c r="BI38" t="s">
        <v>120</v>
      </c>
      <c r="BJ38" t="s">
        <v>121</v>
      </c>
      <c r="BK38" t="s">
        <v>122</v>
      </c>
      <c r="BM38" t="s">
        <v>123</v>
      </c>
      <c r="BN38" t="s">
        <v>429</v>
      </c>
      <c r="BO38" t="s">
        <v>124</v>
      </c>
      <c r="BP38" t="s">
        <v>125</v>
      </c>
      <c r="BQ38" t="s">
        <v>249</v>
      </c>
      <c r="BR38">
        <v>80</v>
      </c>
      <c r="BS38" t="s">
        <v>430</v>
      </c>
      <c r="BT38" t="s">
        <v>431</v>
      </c>
      <c r="BU38">
        <v>101</v>
      </c>
      <c r="BV38" t="s">
        <v>117</v>
      </c>
      <c r="BW38" t="s">
        <v>432</v>
      </c>
      <c r="BX38" t="s">
        <v>162</v>
      </c>
      <c r="CA38" t="str">
        <f t="shared" ref="CA38:CA49" si="2">"0"</f>
        <v>0</v>
      </c>
      <c r="CD38" t="s">
        <v>121</v>
      </c>
      <c r="CF38" t="s">
        <v>130</v>
      </c>
      <c r="CG38" t="s">
        <v>110</v>
      </c>
    </row>
    <row r="39" spans="1:85" x14ac:dyDescent="0.3">
      <c r="A39">
        <v>185672</v>
      </c>
      <c r="B39">
        <v>159321</v>
      </c>
      <c r="C39" t="str">
        <f>"851003450642"</f>
        <v>851003450642</v>
      </c>
      <c r="D39" t="s">
        <v>433</v>
      </c>
      <c r="E39" t="s">
        <v>434</v>
      </c>
      <c r="F39" t="s">
        <v>428</v>
      </c>
      <c r="G39" s="1">
        <v>31323</v>
      </c>
      <c r="I39" t="s">
        <v>98</v>
      </c>
      <c r="J39" t="s">
        <v>99</v>
      </c>
      <c r="K39" t="s">
        <v>244</v>
      </c>
      <c r="P39" t="s">
        <v>146</v>
      </c>
      <c r="W39" t="str">
        <f>"2017-09-02T00:00:00"</f>
        <v>2017-09-02T00:00:00</v>
      </c>
      <c r="X39" t="str">
        <f>"№25"</f>
        <v>№25</v>
      </c>
      <c r="Z39" t="s">
        <v>134</v>
      </c>
      <c r="AA39" t="s">
        <v>135</v>
      </c>
      <c r="AE39" t="s">
        <v>104</v>
      </c>
      <c r="AF39" t="s">
        <v>105</v>
      </c>
      <c r="AG39">
        <v>0.5</v>
      </c>
      <c r="AH39" t="s">
        <v>106</v>
      </c>
      <c r="AI39" t="s">
        <v>107</v>
      </c>
      <c r="AJ39" t="s">
        <v>108</v>
      </c>
      <c r="AM39" t="s">
        <v>109</v>
      </c>
      <c r="AN39" t="s">
        <v>110</v>
      </c>
      <c r="AO39" t="str">
        <f>"6"</f>
        <v>6</v>
      </c>
      <c r="AP39" t="str">
        <f>"10"</f>
        <v>10</v>
      </c>
      <c r="AQ39" t="str">
        <f>"5"</f>
        <v>5</v>
      </c>
      <c r="AR39" t="str">
        <f>"5"</f>
        <v>5</v>
      </c>
      <c r="AS39" t="str">
        <f>"4"</f>
        <v>4</v>
      </c>
      <c r="AT39" t="str">
        <f>"Nastia.1985@mail.ru"</f>
        <v>Nastia.1985@mail.ru</v>
      </c>
      <c r="AU39" t="str">
        <f>"87021365487"</f>
        <v>87021365487</v>
      </c>
      <c r="AV39" t="s">
        <v>435</v>
      </c>
      <c r="AW39" t="s">
        <v>112</v>
      </c>
      <c r="AX39" t="s">
        <v>113</v>
      </c>
      <c r="AY39" t="s">
        <v>233</v>
      </c>
      <c r="AZ39" t="s">
        <v>115</v>
      </c>
      <c r="BA39">
        <v>0.5</v>
      </c>
      <c r="BB39" t="s">
        <v>436</v>
      </c>
      <c r="BC39">
        <v>1</v>
      </c>
      <c r="BF39" t="s">
        <v>138</v>
      </c>
      <c r="BG39" t="str">
        <f>"236006010374"</f>
        <v>236006010374</v>
      </c>
      <c r="BH39" t="s">
        <v>119</v>
      </c>
      <c r="BI39" t="s">
        <v>120</v>
      </c>
      <c r="BJ39" t="s">
        <v>121</v>
      </c>
      <c r="BK39" t="s">
        <v>122</v>
      </c>
      <c r="BM39" t="s">
        <v>437</v>
      </c>
      <c r="BN39" t="s">
        <v>233</v>
      </c>
      <c r="BO39" t="s">
        <v>438</v>
      </c>
      <c r="BP39" t="s">
        <v>125</v>
      </c>
      <c r="BQ39" t="s">
        <v>249</v>
      </c>
      <c r="BR39">
        <v>80</v>
      </c>
      <c r="BS39" t="s">
        <v>439</v>
      </c>
      <c r="BT39" t="s">
        <v>440</v>
      </c>
      <c r="BU39">
        <v>1746</v>
      </c>
      <c r="BV39" t="s">
        <v>117</v>
      </c>
      <c r="BW39" t="s">
        <v>441</v>
      </c>
      <c r="BX39" t="s">
        <v>162</v>
      </c>
      <c r="CA39" t="str">
        <f t="shared" si="2"/>
        <v>0</v>
      </c>
      <c r="CD39" t="s">
        <v>142</v>
      </c>
      <c r="CF39" t="s">
        <v>130</v>
      </c>
      <c r="CG39" t="s">
        <v>110</v>
      </c>
    </row>
    <row r="40" spans="1:85" x14ac:dyDescent="0.3">
      <c r="A40">
        <v>185683</v>
      </c>
      <c r="B40">
        <v>159328</v>
      </c>
      <c r="C40" t="str">
        <f>"940601350326"</f>
        <v>940601350326</v>
      </c>
      <c r="D40" t="s">
        <v>442</v>
      </c>
      <c r="E40" t="s">
        <v>443</v>
      </c>
      <c r="F40" t="s">
        <v>444</v>
      </c>
      <c r="G40" s="1">
        <v>34486</v>
      </c>
      <c r="I40" t="s">
        <v>200</v>
      </c>
      <c r="J40" t="s">
        <v>99</v>
      </c>
      <c r="K40" t="s">
        <v>100</v>
      </c>
      <c r="P40" t="s">
        <v>101</v>
      </c>
      <c r="W40" t="str">
        <f>"2016-03-01T00:00:00"</f>
        <v>2016-03-01T00:00:00</v>
      </c>
      <c r="X40" t="str">
        <f>"№16"</f>
        <v>№16</v>
      </c>
      <c r="Z40" t="s">
        <v>359</v>
      </c>
      <c r="AA40" t="s">
        <v>135</v>
      </c>
      <c r="AE40" t="s">
        <v>104</v>
      </c>
      <c r="AF40" t="s">
        <v>105</v>
      </c>
      <c r="AG40">
        <v>1.5</v>
      </c>
      <c r="AH40" t="s">
        <v>106</v>
      </c>
      <c r="AI40" t="s">
        <v>107</v>
      </c>
      <c r="AJ40" t="s">
        <v>108</v>
      </c>
      <c r="AM40" t="s">
        <v>109</v>
      </c>
      <c r="AN40" t="s">
        <v>110</v>
      </c>
      <c r="AO40" t="str">
        <f>"0"</f>
        <v>0</v>
      </c>
      <c r="AP40" t="str">
        <f>"5"</f>
        <v>5</v>
      </c>
      <c r="AQ40" t="str">
        <f>"4"</f>
        <v>4</v>
      </c>
      <c r="AR40" t="str">
        <f>"4"</f>
        <v>4</v>
      </c>
      <c r="AS40" t="str">
        <f>"5"</f>
        <v>5</v>
      </c>
      <c r="AT40" t="str">
        <f>"Mr.terlikpaev@mail.ru"</f>
        <v>Mr.terlikpaev@mail.ru</v>
      </c>
      <c r="AU40" t="str">
        <f>"87028419442"</f>
        <v>87028419442</v>
      </c>
      <c r="AV40" t="s">
        <v>168</v>
      </c>
      <c r="AW40" t="s">
        <v>296</v>
      </c>
      <c r="AX40" t="s">
        <v>113</v>
      </c>
      <c r="AY40" t="s">
        <v>416</v>
      </c>
      <c r="AZ40" t="s">
        <v>115</v>
      </c>
      <c r="BA40">
        <v>1.5</v>
      </c>
      <c r="BB40" t="s">
        <v>110</v>
      </c>
      <c r="BC40">
        <v>0</v>
      </c>
      <c r="BF40" t="s">
        <v>138</v>
      </c>
      <c r="BG40" t="str">
        <f>"236006010359"</f>
        <v>236006010359</v>
      </c>
      <c r="BH40" t="s">
        <v>119</v>
      </c>
      <c r="BI40" t="s">
        <v>120</v>
      </c>
      <c r="BJ40" t="s">
        <v>121</v>
      </c>
      <c r="BK40" t="s">
        <v>122</v>
      </c>
      <c r="BM40" t="s">
        <v>123</v>
      </c>
      <c r="BN40" t="s">
        <v>416</v>
      </c>
      <c r="BO40" t="s">
        <v>124</v>
      </c>
      <c r="BP40" t="s">
        <v>125</v>
      </c>
      <c r="BQ40" t="s">
        <v>249</v>
      </c>
      <c r="BR40">
        <v>40</v>
      </c>
      <c r="BS40" t="s">
        <v>340</v>
      </c>
      <c r="BT40" t="s">
        <v>445</v>
      </c>
      <c r="BU40">
        <v>1791</v>
      </c>
      <c r="BV40" t="s">
        <v>117</v>
      </c>
      <c r="BW40" t="s">
        <v>446</v>
      </c>
      <c r="BX40" t="s">
        <v>162</v>
      </c>
      <c r="CA40" t="str">
        <f t="shared" si="2"/>
        <v>0</v>
      </c>
      <c r="CD40" t="s">
        <v>121</v>
      </c>
      <c r="CF40" t="s">
        <v>130</v>
      </c>
      <c r="CG40" t="s">
        <v>110</v>
      </c>
    </row>
    <row r="41" spans="1:85" x14ac:dyDescent="0.3">
      <c r="A41">
        <v>1549144</v>
      </c>
      <c r="B41">
        <v>682856</v>
      </c>
      <c r="C41" t="str">
        <f>"760927301223"</f>
        <v>760927301223</v>
      </c>
      <c r="D41" t="s">
        <v>447</v>
      </c>
      <c r="E41" t="s">
        <v>448</v>
      </c>
      <c r="F41" t="s">
        <v>449</v>
      </c>
      <c r="G41" s="1">
        <v>28030</v>
      </c>
      <c r="I41" t="s">
        <v>200</v>
      </c>
      <c r="J41" t="s">
        <v>99</v>
      </c>
      <c r="K41" t="s">
        <v>100</v>
      </c>
      <c r="P41" t="s">
        <v>101</v>
      </c>
      <c r="W41" t="str">
        <f>"2018-12-29T00:00:00"</f>
        <v>2018-12-29T00:00:00</v>
      </c>
      <c r="X41" t="str">
        <f>"№101"</f>
        <v>№101</v>
      </c>
      <c r="Z41" t="s">
        <v>102</v>
      </c>
      <c r="AA41" t="s">
        <v>103</v>
      </c>
      <c r="AE41" t="s">
        <v>104</v>
      </c>
      <c r="AF41" t="s">
        <v>105</v>
      </c>
      <c r="AG41">
        <v>1.3</v>
      </c>
      <c r="AH41" t="s">
        <v>106</v>
      </c>
      <c r="AI41" t="s">
        <v>107</v>
      </c>
      <c r="AJ41" t="s">
        <v>108</v>
      </c>
      <c r="AM41" t="s">
        <v>109</v>
      </c>
      <c r="AN41" t="s">
        <v>110</v>
      </c>
      <c r="AO41" t="str">
        <f>"2"</f>
        <v>2</v>
      </c>
      <c r="AP41" t="str">
        <f>"5"</f>
        <v>5</v>
      </c>
      <c r="AQ41" t="str">
        <f>"3"</f>
        <v>3</v>
      </c>
      <c r="AR41" t="str">
        <f>"3"</f>
        <v>3</v>
      </c>
      <c r="AS41" t="str">
        <f>"3"</f>
        <v>3</v>
      </c>
      <c r="AT41" t="str">
        <f>"anarbek.temirkhanov@mail.ru"</f>
        <v>anarbek.temirkhanov@mail.ru</v>
      </c>
      <c r="AU41" t="str">
        <f>"87052743676"</f>
        <v>87052743676</v>
      </c>
      <c r="AV41" t="s">
        <v>136</v>
      </c>
      <c r="AW41" t="s">
        <v>296</v>
      </c>
      <c r="AX41" t="s">
        <v>113</v>
      </c>
      <c r="AY41" t="s">
        <v>339</v>
      </c>
      <c r="AZ41" t="s">
        <v>115</v>
      </c>
      <c r="BA41">
        <v>1.3</v>
      </c>
      <c r="BB41" t="s">
        <v>110</v>
      </c>
      <c r="BC41">
        <v>0</v>
      </c>
      <c r="BF41" t="s">
        <v>138</v>
      </c>
      <c r="BG41" t="str">
        <f>"236006010365"</f>
        <v>236006010365</v>
      </c>
      <c r="BH41" t="s">
        <v>119</v>
      </c>
      <c r="BI41" t="s">
        <v>120</v>
      </c>
      <c r="BJ41" t="s">
        <v>121</v>
      </c>
      <c r="BK41" t="s">
        <v>122</v>
      </c>
      <c r="BM41" t="s">
        <v>123</v>
      </c>
      <c r="BN41" t="s">
        <v>339</v>
      </c>
      <c r="BO41" t="s">
        <v>124</v>
      </c>
      <c r="BP41" t="s">
        <v>125</v>
      </c>
      <c r="BQ41" t="s">
        <v>249</v>
      </c>
      <c r="BR41">
        <v>80</v>
      </c>
      <c r="BS41" t="s">
        <v>450</v>
      </c>
      <c r="BT41" t="s">
        <v>451</v>
      </c>
      <c r="BU41">
        <v>5588</v>
      </c>
      <c r="BV41" t="s">
        <v>117</v>
      </c>
      <c r="BW41" t="s">
        <v>452</v>
      </c>
      <c r="BX41" t="s">
        <v>162</v>
      </c>
      <c r="CA41" t="str">
        <f t="shared" si="2"/>
        <v>0</v>
      </c>
      <c r="CD41" t="s">
        <v>142</v>
      </c>
      <c r="CF41" t="s">
        <v>130</v>
      </c>
      <c r="CG41" t="s">
        <v>110</v>
      </c>
    </row>
    <row r="42" spans="1:85" x14ac:dyDescent="0.3">
      <c r="A42">
        <v>1550004</v>
      </c>
      <c r="B42">
        <v>1192296</v>
      </c>
      <c r="C42" t="str">
        <f>"830706451242"</f>
        <v>830706451242</v>
      </c>
      <c r="D42" t="s">
        <v>453</v>
      </c>
      <c r="E42" t="s">
        <v>454</v>
      </c>
      <c r="F42" t="s">
        <v>455</v>
      </c>
      <c r="G42" s="1">
        <v>30503</v>
      </c>
      <c r="I42" t="s">
        <v>98</v>
      </c>
      <c r="J42" t="s">
        <v>99</v>
      </c>
      <c r="K42" t="s">
        <v>100</v>
      </c>
      <c r="P42" t="s">
        <v>146</v>
      </c>
      <c r="W42" t="str">
        <f>"2018-11-01T00:00:00"</f>
        <v>2018-11-01T00:00:00</v>
      </c>
      <c r="X42" t="str">
        <f>"№93"</f>
        <v>№93</v>
      </c>
      <c r="Z42" t="s">
        <v>102</v>
      </c>
      <c r="AA42" t="s">
        <v>103</v>
      </c>
      <c r="AE42" t="s">
        <v>104</v>
      </c>
      <c r="AF42" t="s">
        <v>167</v>
      </c>
      <c r="AG42">
        <v>1</v>
      </c>
      <c r="AH42" t="s">
        <v>106</v>
      </c>
      <c r="AI42" t="s">
        <v>107</v>
      </c>
      <c r="AJ42" t="s">
        <v>108</v>
      </c>
      <c r="AM42" t="s">
        <v>109</v>
      </c>
      <c r="AN42" t="s">
        <v>110</v>
      </c>
      <c r="AO42" t="str">
        <f>"4"</f>
        <v>4</v>
      </c>
      <c r="AP42" t="str">
        <f>"7"</f>
        <v>7</v>
      </c>
      <c r="AQ42" t="str">
        <f>"5"</f>
        <v>5</v>
      </c>
      <c r="AR42" t="str">
        <f>"5"</f>
        <v>5</v>
      </c>
      <c r="AS42" t="str">
        <f>"3"</f>
        <v>3</v>
      </c>
      <c r="AT42" t="str">
        <f>"dikoshka1983@mail.ru"</f>
        <v>dikoshka1983@mail.ru</v>
      </c>
      <c r="AU42" t="str">
        <f>"87473400725"</f>
        <v>87473400725</v>
      </c>
      <c r="AV42" t="s">
        <v>136</v>
      </c>
      <c r="AW42" t="s">
        <v>186</v>
      </c>
      <c r="AX42" t="s">
        <v>113</v>
      </c>
      <c r="AY42" t="s">
        <v>169</v>
      </c>
      <c r="AZ42" t="s">
        <v>115</v>
      </c>
      <c r="BA42">
        <v>1</v>
      </c>
      <c r="BB42" t="s">
        <v>116</v>
      </c>
      <c r="BC42">
        <v>0.5</v>
      </c>
      <c r="BD42" t="s">
        <v>117</v>
      </c>
      <c r="BE42">
        <v>0</v>
      </c>
      <c r="BF42" t="s">
        <v>118</v>
      </c>
      <c r="BG42" t="str">
        <f>"236006010068"</f>
        <v>236006010068</v>
      </c>
      <c r="BH42" t="s">
        <v>119</v>
      </c>
      <c r="BI42" t="s">
        <v>120</v>
      </c>
      <c r="BJ42" t="s">
        <v>121</v>
      </c>
      <c r="BK42" t="s">
        <v>122</v>
      </c>
      <c r="BM42" t="s">
        <v>123</v>
      </c>
      <c r="BN42" t="s">
        <v>150</v>
      </c>
      <c r="BO42" t="s">
        <v>124</v>
      </c>
      <c r="BP42" t="s">
        <v>125</v>
      </c>
      <c r="BQ42" t="s">
        <v>249</v>
      </c>
      <c r="BR42">
        <v>80</v>
      </c>
      <c r="BS42" t="s">
        <v>456</v>
      </c>
      <c r="BT42" t="s">
        <v>457</v>
      </c>
      <c r="BU42">
        <v>994</v>
      </c>
      <c r="BV42" t="s">
        <v>117</v>
      </c>
      <c r="BW42" t="s">
        <v>129</v>
      </c>
      <c r="CA42" t="str">
        <f t="shared" si="2"/>
        <v>0</v>
      </c>
      <c r="CD42" t="s">
        <v>142</v>
      </c>
      <c r="CF42" t="s">
        <v>181</v>
      </c>
      <c r="CG42" t="s">
        <v>110</v>
      </c>
    </row>
    <row r="43" spans="1:85" x14ac:dyDescent="0.3">
      <c r="A43">
        <v>1550041</v>
      </c>
      <c r="B43">
        <v>1192316</v>
      </c>
      <c r="C43" t="str">
        <f>"961110400511"</f>
        <v>961110400511</v>
      </c>
      <c r="D43" t="s">
        <v>458</v>
      </c>
      <c r="E43" t="s">
        <v>459</v>
      </c>
      <c r="F43" t="s">
        <v>460</v>
      </c>
      <c r="G43" s="1">
        <v>35379</v>
      </c>
      <c r="I43" t="s">
        <v>98</v>
      </c>
      <c r="J43" t="s">
        <v>99</v>
      </c>
      <c r="K43" t="s">
        <v>100</v>
      </c>
      <c r="P43" t="s">
        <v>146</v>
      </c>
      <c r="Q43" t="s">
        <v>142</v>
      </c>
      <c r="W43" t="str">
        <f>"2018-11-01T00:00:00"</f>
        <v>2018-11-01T00:00:00</v>
      </c>
      <c r="X43" t="str">
        <f>"№89"</f>
        <v>№89</v>
      </c>
      <c r="Z43" t="s">
        <v>102</v>
      </c>
      <c r="AA43" t="s">
        <v>135</v>
      </c>
      <c r="AE43" t="s">
        <v>104</v>
      </c>
      <c r="AF43" t="s">
        <v>105</v>
      </c>
      <c r="AG43">
        <v>1.5</v>
      </c>
      <c r="AH43" t="s">
        <v>106</v>
      </c>
      <c r="AI43" t="s">
        <v>107</v>
      </c>
      <c r="AJ43" t="s">
        <v>108</v>
      </c>
      <c r="AM43" t="s">
        <v>109</v>
      </c>
      <c r="AN43" t="s">
        <v>110</v>
      </c>
      <c r="AO43" t="str">
        <f>"1"</f>
        <v>1</v>
      </c>
      <c r="AP43" t="str">
        <f>"4"</f>
        <v>4</v>
      </c>
      <c r="AQ43" t="str">
        <f t="shared" ref="AQ43:AR45" si="3">"1"</f>
        <v>1</v>
      </c>
      <c r="AR43" t="str">
        <f t="shared" si="3"/>
        <v>1</v>
      </c>
      <c r="AS43" t="str">
        <f>"3"</f>
        <v>3</v>
      </c>
      <c r="AT43" t="str">
        <f>"karataev_t@inbox.ru"</f>
        <v>karataev_t@inbox.ru</v>
      </c>
      <c r="AU43" t="str">
        <f>"87476688573"</f>
        <v>87476688573</v>
      </c>
      <c r="AV43" t="s">
        <v>390</v>
      </c>
      <c r="AX43" t="s">
        <v>113</v>
      </c>
      <c r="AY43" t="s">
        <v>257</v>
      </c>
      <c r="AZ43" t="s">
        <v>115</v>
      </c>
      <c r="BA43">
        <v>1.5</v>
      </c>
      <c r="BB43" t="s">
        <v>110</v>
      </c>
      <c r="BC43">
        <v>0</v>
      </c>
      <c r="BF43" t="s">
        <v>138</v>
      </c>
      <c r="BG43" t="str">
        <f>"236006010377"</f>
        <v>236006010377</v>
      </c>
      <c r="BH43" t="s">
        <v>119</v>
      </c>
      <c r="BI43" t="s">
        <v>120</v>
      </c>
      <c r="BJ43" t="s">
        <v>121</v>
      </c>
      <c r="BK43" t="s">
        <v>122</v>
      </c>
      <c r="BM43" t="s">
        <v>385</v>
      </c>
      <c r="BV43" t="s">
        <v>117</v>
      </c>
      <c r="BW43" t="s">
        <v>229</v>
      </c>
      <c r="BX43" t="s">
        <v>162</v>
      </c>
      <c r="CA43" t="str">
        <f t="shared" si="2"/>
        <v>0</v>
      </c>
      <c r="CD43" t="s">
        <v>142</v>
      </c>
      <c r="CF43" t="s">
        <v>461</v>
      </c>
      <c r="CG43" t="s">
        <v>110</v>
      </c>
    </row>
    <row r="44" spans="1:85" x14ac:dyDescent="0.3">
      <c r="A44">
        <v>1748530</v>
      </c>
      <c r="B44">
        <v>1305299</v>
      </c>
      <c r="C44" t="str">
        <f>"970628450731"</f>
        <v>970628450731</v>
      </c>
      <c r="D44" t="s">
        <v>462</v>
      </c>
      <c r="E44" t="s">
        <v>463</v>
      </c>
      <c r="F44" t="s">
        <v>383</v>
      </c>
      <c r="G44" s="1">
        <v>35609</v>
      </c>
      <c r="I44" t="s">
        <v>98</v>
      </c>
      <c r="J44" t="s">
        <v>99</v>
      </c>
      <c r="K44" t="s">
        <v>244</v>
      </c>
      <c r="P44" t="s">
        <v>146</v>
      </c>
      <c r="W44" t="str">
        <f>"2019-09-02T00:00:00"</f>
        <v>2019-09-02T00:00:00</v>
      </c>
      <c r="X44" t="str">
        <f>"98"</f>
        <v>98</v>
      </c>
      <c r="Z44" t="s">
        <v>359</v>
      </c>
      <c r="AA44" t="s">
        <v>135</v>
      </c>
      <c r="AE44" t="s">
        <v>104</v>
      </c>
      <c r="AF44" t="s">
        <v>167</v>
      </c>
      <c r="AG44">
        <v>1.2</v>
      </c>
      <c r="AH44" t="s">
        <v>106</v>
      </c>
      <c r="AI44" t="s">
        <v>107</v>
      </c>
      <c r="AJ44" t="s">
        <v>108</v>
      </c>
      <c r="AM44" t="s">
        <v>109</v>
      </c>
      <c r="AN44" t="s">
        <v>110</v>
      </c>
      <c r="AO44" t="str">
        <f>"0"</f>
        <v>0</v>
      </c>
      <c r="AP44" t="str">
        <f>"2"</f>
        <v>2</v>
      </c>
      <c r="AQ44" t="str">
        <f t="shared" si="3"/>
        <v>1</v>
      </c>
      <c r="AR44" t="str">
        <f t="shared" si="3"/>
        <v>1</v>
      </c>
      <c r="AS44" t="str">
        <f>"2"</f>
        <v>2</v>
      </c>
      <c r="AT44" t="str">
        <f>"fomushkina_1997@mail.ru"</f>
        <v>fomushkina_1997@mail.ru</v>
      </c>
      <c r="AU44" t="str">
        <f>"87711285950"</f>
        <v>87711285950</v>
      </c>
      <c r="AV44" t="s">
        <v>168</v>
      </c>
      <c r="AW44" t="s">
        <v>137</v>
      </c>
      <c r="AX44" t="s">
        <v>113</v>
      </c>
      <c r="AY44" t="s">
        <v>169</v>
      </c>
      <c r="AZ44" t="s">
        <v>115</v>
      </c>
      <c r="BA44">
        <v>1.2</v>
      </c>
      <c r="BB44" t="s">
        <v>110</v>
      </c>
      <c r="BC44">
        <v>0</v>
      </c>
      <c r="BF44" t="s">
        <v>138</v>
      </c>
      <c r="BG44" t="str">
        <f>"236006010344"</f>
        <v>236006010344</v>
      </c>
      <c r="BH44" t="s">
        <v>119</v>
      </c>
      <c r="BI44" t="s">
        <v>120</v>
      </c>
      <c r="BJ44" t="s">
        <v>121</v>
      </c>
      <c r="BK44" t="s">
        <v>122</v>
      </c>
      <c r="BM44" t="s">
        <v>385</v>
      </c>
      <c r="BV44" t="s">
        <v>117</v>
      </c>
      <c r="BW44" t="s">
        <v>274</v>
      </c>
      <c r="BX44" s="2">
        <v>44652</v>
      </c>
      <c r="CA44" t="str">
        <f t="shared" si="2"/>
        <v>0</v>
      </c>
      <c r="CD44" t="s">
        <v>121</v>
      </c>
      <c r="CF44" t="s">
        <v>130</v>
      </c>
      <c r="CG44" t="s">
        <v>110</v>
      </c>
    </row>
    <row r="45" spans="1:85" x14ac:dyDescent="0.3">
      <c r="A45">
        <v>1748701</v>
      </c>
      <c r="B45">
        <v>327352</v>
      </c>
      <c r="C45" t="str">
        <f>"740704350532"</f>
        <v>740704350532</v>
      </c>
      <c r="D45" t="s">
        <v>464</v>
      </c>
      <c r="E45" t="s">
        <v>465</v>
      </c>
      <c r="F45" t="s">
        <v>466</v>
      </c>
      <c r="G45" s="1">
        <v>27214</v>
      </c>
      <c r="I45" t="s">
        <v>200</v>
      </c>
      <c r="J45" t="s">
        <v>99</v>
      </c>
      <c r="K45" t="s">
        <v>100</v>
      </c>
      <c r="P45" t="s">
        <v>146</v>
      </c>
      <c r="W45" t="str">
        <f>"2019-09-02T00:00:00"</f>
        <v>2019-09-02T00:00:00</v>
      </c>
      <c r="X45" t="str">
        <f>"99"</f>
        <v>99</v>
      </c>
      <c r="Z45" t="s">
        <v>134</v>
      </c>
      <c r="AA45" t="s">
        <v>135</v>
      </c>
      <c r="AE45" t="s">
        <v>104</v>
      </c>
      <c r="AF45" t="s">
        <v>105</v>
      </c>
      <c r="AG45">
        <v>1.5</v>
      </c>
      <c r="AH45" t="s">
        <v>106</v>
      </c>
      <c r="AI45" t="s">
        <v>107</v>
      </c>
      <c r="AJ45" t="s">
        <v>108</v>
      </c>
      <c r="AM45" t="s">
        <v>109</v>
      </c>
      <c r="AN45" t="s">
        <v>110</v>
      </c>
      <c r="AO45" t="str">
        <f>"20"</f>
        <v>20</v>
      </c>
      <c r="AP45" t="str">
        <f>"22"</f>
        <v>22</v>
      </c>
      <c r="AQ45" t="str">
        <f t="shared" si="3"/>
        <v>1</v>
      </c>
      <c r="AR45" t="str">
        <f t="shared" si="3"/>
        <v>1</v>
      </c>
      <c r="AS45" t="str">
        <f>"2"</f>
        <v>2</v>
      </c>
      <c r="AT45" t="str">
        <f>"medetbayev74@bk.ru"</f>
        <v>medetbayev74@bk.ru</v>
      </c>
      <c r="AU45" t="str">
        <f>"87014007097"</f>
        <v>87014007097</v>
      </c>
      <c r="AV45" t="s">
        <v>168</v>
      </c>
      <c r="AW45" t="s">
        <v>137</v>
      </c>
      <c r="AX45" t="s">
        <v>113</v>
      </c>
      <c r="AY45" t="s">
        <v>114</v>
      </c>
      <c r="AZ45" t="s">
        <v>115</v>
      </c>
      <c r="BA45">
        <v>1.5</v>
      </c>
      <c r="BB45" t="s">
        <v>110</v>
      </c>
      <c r="BC45">
        <v>0</v>
      </c>
      <c r="BF45" t="s">
        <v>138</v>
      </c>
      <c r="BG45" t="str">
        <f>"236006010354"</f>
        <v>236006010354</v>
      </c>
      <c r="BH45" t="s">
        <v>119</v>
      </c>
      <c r="BI45" t="s">
        <v>120</v>
      </c>
      <c r="BJ45" t="s">
        <v>121</v>
      </c>
      <c r="BK45" t="s">
        <v>122</v>
      </c>
      <c r="BM45" t="s">
        <v>385</v>
      </c>
      <c r="BV45" t="s">
        <v>117</v>
      </c>
      <c r="BW45" t="s">
        <v>467</v>
      </c>
      <c r="BX45" t="s">
        <v>162</v>
      </c>
      <c r="CA45" t="str">
        <f t="shared" si="2"/>
        <v>0</v>
      </c>
      <c r="CD45" t="s">
        <v>142</v>
      </c>
      <c r="CF45" t="s">
        <v>181</v>
      </c>
      <c r="CG45" t="s">
        <v>110</v>
      </c>
    </row>
    <row r="46" spans="1:85" x14ac:dyDescent="0.3">
      <c r="A46">
        <v>1749046</v>
      </c>
      <c r="B46">
        <v>159325</v>
      </c>
      <c r="C46" t="str">
        <f>"781204401929"</f>
        <v>781204401929</v>
      </c>
      <c r="D46" t="s">
        <v>468</v>
      </c>
      <c r="E46" t="s">
        <v>469</v>
      </c>
      <c r="F46" t="s">
        <v>470</v>
      </c>
      <c r="G46" s="1">
        <v>28828</v>
      </c>
      <c r="I46" t="s">
        <v>98</v>
      </c>
      <c r="J46" t="s">
        <v>99</v>
      </c>
      <c r="K46" t="s">
        <v>100</v>
      </c>
      <c r="P46" t="s">
        <v>101</v>
      </c>
      <c r="W46" t="str">
        <f>"2015-09-01T00:00:00"</f>
        <v>2015-09-01T00:00:00</v>
      </c>
      <c r="X46" t="str">
        <f>"43"</f>
        <v>43</v>
      </c>
      <c r="Z46" t="s">
        <v>102</v>
      </c>
      <c r="AA46" t="s">
        <v>135</v>
      </c>
      <c r="AE46" t="s">
        <v>104</v>
      </c>
      <c r="AF46" t="s">
        <v>167</v>
      </c>
      <c r="AG46">
        <v>1</v>
      </c>
      <c r="AH46" t="s">
        <v>106</v>
      </c>
      <c r="AI46" t="s">
        <v>107</v>
      </c>
      <c r="AJ46" t="s">
        <v>108</v>
      </c>
      <c r="AM46" t="s">
        <v>109</v>
      </c>
      <c r="AN46" t="s">
        <v>110</v>
      </c>
      <c r="AO46" t="str">
        <f>"20"</f>
        <v>20</v>
      </c>
      <c r="AP46" t="str">
        <f>"26"</f>
        <v>26</v>
      </c>
      <c r="AQ46" t="str">
        <f>"5"</f>
        <v>5</v>
      </c>
      <c r="AR46" t="str">
        <f>"5"</f>
        <v>5</v>
      </c>
      <c r="AS46" t="str">
        <f>"6"</f>
        <v>6</v>
      </c>
      <c r="AT46" t="str">
        <f>"ilyasheva78@list.ru"</f>
        <v>ilyasheva78@list.ru</v>
      </c>
      <c r="AU46" t="str">
        <f>"87751929483"</f>
        <v>87751929483</v>
      </c>
      <c r="AV46" t="s">
        <v>136</v>
      </c>
      <c r="AW46" t="s">
        <v>137</v>
      </c>
      <c r="AX46" t="s">
        <v>113</v>
      </c>
      <c r="AY46" t="s">
        <v>169</v>
      </c>
      <c r="AZ46" t="s">
        <v>115</v>
      </c>
      <c r="BA46">
        <v>1</v>
      </c>
      <c r="BB46" t="s">
        <v>110</v>
      </c>
      <c r="BC46">
        <v>0</v>
      </c>
      <c r="BF46" t="s">
        <v>138</v>
      </c>
      <c r="BG46" t="str">
        <f>"236006010370"</f>
        <v>236006010370</v>
      </c>
      <c r="BH46" t="s">
        <v>119</v>
      </c>
      <c r="BI46" t="s">
        <v>120</v>
      </c>
      <c r="BJ46" t="s">
        <v>121</v>
      </c>
      <c r="BK46" t="s">
        <v>122</v>
      </c>
      <c r="BM46" t="s">
        <v>123</v>
      </c>
      <c r="BN46" t="s">
        <v>169</v>
      </c>
      <c r="BO46" t="s">
        <v>124</v>
      </c>
      <c r="BP46" t="s">
        <v>125</v>
      </c>
      <c r="BQ46" t="s">
        <v>249</v>
      </c>
      <c r="BR46">
        <v>120</v>
      </c>
      <c r="BS46" t="s">
        <v>471</v>
      </c>
      <c r="BT46" t="s">
        <v>273</v>
      </c>
      <c r="BU46">
        <v>67</v>
      </c>
      <c r="BV46" t="s">
        <v>117</v>
      </c>
      <c r="BW46" t="s">
        <v>472</v>
      </c>
      <c r="BX46" s="2">
        <v>44652</v>
      </c>
      <c r="CA46" t="str">
        <f t="shared" si="2"/>
        <v>0</v>
      </c>
      <c r="CD46" t="s">
        <v>121</v>
      </c>
      <c r="CF46" t="s">
        <v>275</v>
      </c>
      <c r="CG46" t="s">
        <v>110</v>
      </c>
    </row>
    <row r="47" spans="1:85" x14ac:dyDescent="0.3">
      <c r="A47">
        <v>1749369</v>
      </c>
      <c r="B47">
        <v>785173</v>
      </c>
      <c r="C47" t="str">
        <f>"650301400215"</f>
        <v>650301400215</v>
      </c>
      <c r="D47" t="s">
        <v>473</v>
      </c>
      <c r="E47" t="s">
        <v>474</v>
      </c>
      <c r="F47" t="s">
        <v>475</v>
      </c>
      <c r="G47" s="1">
        <v>23802</v>
      </c>
      <c r="I47" t="s">
        <v>98</v>
      </c>
      <c r="J47" t="s">
        <v>99</v>
      </c>
      <c r="K47" t="s">
        <v>100</v>
      </c>
      <c r="P47" t="s">
        <v>146</v>
      </c>
      <c r="W47" t="str">
        <f>"2019-09-02T00:00:00"</f>
        <v>2019-09-02T00:00:00</v>
      </c>
      <c r="X47" t="str">
        <f>"100"</f>
        <v>100</v>
      </c>
      <c r="Z47" t="s">
        <v>102</v>
      </c>
      <c r="AA47" t="s">
        <v>135</v>
      </c>
      <c r="AE47" t="s">
        <v>104</v>
      </c>
      <c r="AF47" t="s">
        <v>105</v>
      </c>
      <c r="AG47">
        <v>1.5</v>
      </c>
      <c r="AH47" t="s">
        <v>106</v>
      </c>
      <c r="AI47" t="s">
        <v>107</v>
      </c>
      <c r="AJ47" t="s">
        <v>108</v>
      </c>
      <c r="AM47" t="s">
        <v>109</v>
      </c>
      <c r="AN47" t="s">
        <v>110</v>
      </c>
      <c r="AO47" t="str">
        <f>"28"</f>
        <v>28</v>
      </c>
      <c r="AP47" t="str">
        <f>"30"</f>
        <v>30</v>
      </c>
      <c r="AQ47" t="str">
        <f t="shared" ref="AQ47:AR49" si="4">"1"</f>
        <v>1</v>
      </c>
      <c r="AR47" t="str">
        <f t="shared" si="4"/>
        <v>1</v>
      </c>
      <c r="AS47" t="str">
        <f>"2"</f>
        <v>2</v>
      </c>
      <c r="AT47" t="str">
        <f>"mgm_65@mail.ru"</f>
        <v>mgm_65@mail.ru</v>
      </c>
      <c r="AU47" t="str">
        <f>"87077962510"</f>
        <v>87077962510</v>
      </c>
      <c r="AV47" t="s">
        <v>168</v>
      </c>
      <c r="AW47" t="s">
        <v>148</v>
      </c>
      <c r="AX47" t="s">
        <v>113</v>
      </c>
      <c r="AY47" t="s">
        <v>429</v>
      </c>
      <c r="AZ47" t="s">
        <v>115</v>
      </c>
      <c r="BA47">
        <v>1</v>
      </c>
      <c r="BB47" t="s">
        <v>105</v>
      </c>
      <c r="BC47">
        <v>0.5</v>
      </c>
      <c r="BD47" t="s">
        <v>149</v>
      </c>
      <c r="BE47">
        <v>0.5</v>
      </c>
      <c r="BF47" t="s">
        <v>138</v>
      </c>
      <c r="BG47" t="str">
        <f>"236006010369"</f>
        <v>236006010369</v>
      </c>
      <c r="BH47" t="s">
        <v>119</v>
      </c>
      <c r="BI47" t="s">
        <v>120</v>
      </c>
      <c r="BJ47" t="s">
        <v>121</v>
      </c>
      <c r="BK47" t="s">
        <v>122</v>
      </c>
      <c r="BM47" t="s">
        <v>123</v>
      </c>
      <c r="BN47" t="s">
        <v>149</v>
      </c>
      <c r="BO47" t="s">
        <v>124</v>
      </c>
      <c r="BP47" t="s">
        <v>125</v>
      </c>
      <c r="BQ47" t="s">
        <v>249</v>
      </c>
      <c r="BR47">
        <v>36</v>
      </c>
      <c r="BS47" t="s">
        <v>476</v>
      </c>
      <c r="BT47" t="s">
        <v>477</v>
      </c>
      <c r="BU47">
        <v>242789</v>
      </c>
      <c r="BV47" t="s">
        <v>117</v>
      </c>
      <c r="BW47" t="s">
        <v>478</v>
      </c>
      <c r="BX47" t="s">
        <v>162</v>
      </c>
      <c r="CA47" t="str">
        <f t="shared" si="2"/>
        <v>0</v>
      </c>
      <c r="CD47" t="s">
        <v>121</v>
      </c>
      <c r="CF47" t="s">
        <v>181</v>
      </c>
      <c r="CG47" t="s">
        <v>110</v>
      </c>
    </row>
    <row r="48" spans="1:85" x14ac:dyDescent="0.3">
      <c r="A48">
        <v>1749752</v>
      </c>
      <c r="B48">
        <v>159317</v>
      </c>
      <c r="C48" t="str">
        <f>"870208450013"</f>
        <v>870208450013</v>
      </c>
      <c r="D48" t="s">
        <v>479</v>
      </c>
      <c r="E48" t="s">
        <v>294</v>
      </c>
      <c r="F48" t="s">
        <v>480</v>
      </c>
      <c r="G48" s="1">
        <v>31816</v>
      </c>
      <c r="I48" t="s">
        <v>98</v>
      </c>
      <c r="J48" t="s">
        <v>99</v>
      </c>
      <c r="K48" t="s">
        <v>244</v>
      </c>
      <c r="P48" t="s">
        <v>101</v>
      </c>
      <c r="W48" t="str">
        <f>"2021-06-18T00:00:00"</f>
        <v>2021-06-18T00:00:00</v>
      </c>
      <c r="X48" t="str">
        <f>"95"</f>
        <v>95</v>
      </c>
      <c r="Z48" t="s">
        <v>415</v>
      </c>
      <c r="AA48" t="s">
        <v>135</v>
      </c>
      <c r="AE48" t="s">
        <v>481</v>
      </c>
      <c r="AF48" t="s">
        <v>167</v>
      </c>
      <c r="AG48">
        <v>0</v>
      </c>
      <c r="AH48" t="s">
        <v>106</v>
      </c>
      <c r="AI48" t="s">
        <v>107</v>
      </c>
      <c r="AJ48" t="s">
        <v>108</v>
      </c>
      <c r="AM48" t="s">
        <v>109</v>
      </c>
      <c r="AN48" t="s">
        <v>110</v>
      </c>
      <c r="AO48" t="str">
        <f>"2"</f>
        <v>2</v>
      </c>
      <c r="AP48" t="str">
        <f>"2"</f>
        <v>2</v>
      </c>
      <c r="AQ48" t="str">
        <f t="shared" si="4"/>
        <v>1</v>
      </c>
      <c r="AR48" t="str">
        <f t="shared" si="4"/>
        <v>1</v>
      </c>
      <c r="AS48" t="str">
        <f>"0"</f>
        <v>0</v>
      </c>
      <c r="AT48" t="str">
        <f>"m.natali0802@mail.ru"</f>
        <v>m.natali0802@mail.ru</v>
      </c>
      <c r="AU48" t="str">
        <f>"87011167614"</f>
        <v>87011167614</v>
      </c>
      <c r="AV48" t="s">
        <v>168</v>
      </c>
      <c r="AW48" t="s">
        <v>360</v>
      </c>
      <c r="AX48" t="s">
        <v>113</v>
      </c>
      <c r="AY48" t="s">
        <v>169</v>
      </c>
      <c r="AZ48" t="s">
        <v>115</v>
      </c>
      <c r="BA48">
        <v>0</v>
      </c>
      <c r="BB48" t="s">
        <v>436</v>
      </c>
      <c r="BC48">
        <v>0</v>
      </c>
      <c r="BM48" t="s">
        <v>123</v>
      </c>
      <c r="BN48" t="s">
        <v>169</v>
      </c>
      <c r="BO48" t="s">
        <v>124</v>
      </c>
      <c r="BP48" t="s">
        <v>125</v>
      </c>
      <c r="BQ48" t="s">
        <v>249</v>
      </c>
      <c r="BR48">
        <v>120</v>
      </c>
      <c r="BS48" t="s">
        <v>128</v>
      </c>
      <c r="BT48" t="s">
        <v>482</v>
      </c>
      <c r="BU48">
        <v>5787</v>
      </c>
      <c r="BV48" t="s">
        <v>117</v>
      </c>
      <c r="BW48" t="s">
        <v>129</v>
      </c>
      <c r="CA48" t="str">
        <f t="shared" si="2"/>
        <v>0</v>
      </c>
      <c r="CD48" t="s">
        <v>121</v>
      </c>
      <c r="CF48" t="s">
        <v>130</v>
      </c>
      <c r="CG48" t="s">
        <v>110</v>
      </c>
    </row>
    <row r="49" spans="1:85" x14ac:dyDescent="0.3">
      <c r="A49">
        <v>1755596</v>
      </c>
      <c r="B49">
        <v>1309059</v>
      </c>
      <c r="C49" t="str">
        <f>"910714450321"</f>
        <v>910714450321</v>
      </c>
      <c r="D49" t="s">
        <v>483</v>
      </c>
      <c r="E49" t="s">
        <v>484</v>
      </c>
      <c r="F49" t="s">
        <v>485</v>
      </c>
      <c r="G49" s="1">
        <v>33433</v>
      </c>
      <c r="I49" t="s">
        <v>98</v>
      </c>
      <c r="J49" t="s">
        <v>99</v>
      </c>
      <c r="K49" t="s">
        <v>100</v>
      </c>
      <c r="P49" t="s">
        <v>146</v>
      </c>
      <c r="Q49" t="s">
        <v>142</v>
      </c>
      <c r="W49" t="str">
        <f>"2019-09-02T00:00:00"</f>
        <v>2019-09-02T00:00:00</v>
      </c>
      <c r="X49" t="str">
        <f>"102"</f>
        <v>102</v>
      </c>
      <c r="Z49" t="s">
        <v>102</v>
      </c>
      <c r="AA49" t="s">
        <v>135</v>
      </c>
      <c r="AE49" t="s">
        <v>481</v>
      </c>
      <c r="AF49" t="s">
        <v>105</v>
      </c>
      <c r="AG49">
        <v>0</v>
      </c>
      <c r="AH49" t="s">
        <v>106</v>
      </c>
      <c r="AI49" t="s">
        <v>107</v>
      </c>
      <c r="AJ49" t="s">
        <v>108</v>
      </c>
      <c r="AM49" t="s">
        <v>109</v>
      </c>
      <c r="AN49" t="s">
        <v>110</v>
      </c>
      <c r="AO49" t="str">
        <f>"0"</f>
        <v>0</v>
      </c>
      <c r="AP49" t="str">
        <f>"2"</f>
        <v>2</v>
      </c>
      <c r="AQ49" t="str">
        <f t="shared" si="4"/>
        <v>1</v>
      </c>
      <c r="AR49" t="str">
        <f t="shared" si="4"/>
        <v>1</v>
      </c>
      <c r="AS49" t="str">
        <f>"2"</f>
        <v>2</v>
      </c>
      <c r="AT49" t="str">
        <f>"Shkola43_ast@mail.ru"</f>
        <v>Shkola43_ast@mail.ru</v>
      </c>
      <c r="AU49" t="str">
        <f>"87002674461"</f>
        <v>87002674461</v>
      </c>
      <c r="AV49" t="s">
        <v>390</v>
      </c>
      <c r="AX49" t="s">
        <v>113</v>
      </c>
      <c r="AY49" t="s">
        <v>257</v>
      </c>
      <c r="AZ49" t="s">
        <v>115</v>
      </c>
      <c r="BA49">
        <v>0</v>
      </c>
      <c r="BB49" t="s">
        <v>110</v>
      </c>
      <c r="BC49">
        <v>0</v>
      </c>
      <c r="BM49" t="s">
        <v>486</v>
      </c>
      <c r="BV49" t="s">
        <v>117</v>
      </c>
      <c r="BW49" t="s">
        <v>129</v>
      </c>
      <c r="CA49" t="str">
        <f t="shared" si="2"/>
        <v>0</v>
      </c>
      <c r="CD49" t="s">
        <v>142</v>
      </c>
      <c r="CF49" t="s">
        <v>461</v>
      </c>
      <c r="CG49" t="s">
        <v>110</v>
      </c>
    </row>
    <row r="50" spans="1:85" x14ac:dyDescent="0.3">
      <c r="A50">
        <v>1755815</v>
      </c>
      <c r="B50">
        <v>159209</v>
      </c>
      <c r="C50" t="str">
        <f>"910215451278"</f>
        <v>910215451278</v>
      </c>
      <c r="D50" t="s">
        <v>487</v>
      </c>
      <c r="E50" t="s">
        <v>488</v>
      </c>
      <c r="F50" t="s">
        <v>489</v>
      </c>
      <c r="G50" s="1">
        <v>33284</v>
      </c>
      <c r="I50" t="s">
        <v>98</v>
      </c>
      <c r="J50" t="s">
        <v>99</v>
      </c>
      <c r="K50" t="s">
        <v>100</v>
      </c>
      <c r="P50" t="s">
        <v>101</v>
      </c>
      <c r="W50" t="str">
        <f>"2021-09-01T00:00:00"</f>
        <v>2021-09-01T00:00:00</v>
      </c>
      <c r="X50" t="str">
        <f>"110"</f>
        <v>110</v>
      </c>
      <c r="Z50" t="s">
        <v>415</v>
      </c>
      <c r="AA50" t="s">
        <v>135</v>
      </c>
      <c r="AE50" t="s">
        <v>104</v>
      </c>
      <c r="AF50" t="s">
        <v>105</v>
      </c>
      <c r="AG50">
        <v>1.2</v>
      </c>
      <c r="AH50" t="s">
        <v>106</v>
      </c>
      <c r="AI50" t="s">
        <v>107</v>
      </c>
      <c r="AJ50" t="s">
        <v>108</v>
      </c>
      <c r="AM50" t="s">
        <v>109</v>
      </c>
      <c r="AN50" t="s">
        <v>110</v>
      </c>
      <c r="AO50" t="str">
        <f>"11"</f>
        <v>11</v>
      </c>
      <c r="AP50" t="str">
        <f>"11"</f>
        <v>11</v>
      </c>
      <c r="AQ50" t="str">
        <f>"11"</f>
        <v>11</v>
      </c>
      <c r="AR50" t="str">
        <f>"11"</f>
        <v>11</v>
      </c>
      <c r="AS50" t="str">
        <f>"0"</f>
        <v>0</v>
      </c>
      <c r="AT50" t="str">
        <f>"zhuka_91@mail.ru"</f>
        <v>zhuka_91@mail.ru</v>
      </c>
      <c r="AU50" t="str">
        <f>"87017097766"</f>
        <v>87017097766</v>
      </c>
      <c r="AV50" t="s">
        <v>435</v>
      </c>
      <c r="AW50" t="s">
        <v>490</v>
      </c>
      <c r="AX50" t="s">
        <v>113</v>
      </c>
      <c r="AY50" t="s">
        <v>257</v>
      </c>
      <c r="AZ50" t="s">
        <v>115</v>
      </c>
      <c r="BA50">
        <v>1.2</v>
      </c>
      <c r="BB50" t="s">
        <v>110</v>
      </c>
      <c r="BC50">
        <v>0</v>
      </c>
      <c r="BF50" t="s">
        <v>138</v>
      </c>
      <c r="BG50" t="str">
        <f>"236006010345"</f>
        <v>236006010345</v>
      </c>
      <c r="BH50" t="s">
        <v>119</v>
      </c>
      <c r="BI50" t="s">
        <v>120</v>
      </c>
      <c r="BJ50" t="s">
        <v>121</v>
      </c>
      <c r="BK50" t="s">
        <v>122</v>
      </c>
      <c r="BM50" t="s">
        <v>123</v>
      </c>
      <c r="BN50" t="s">
        <v>257</v>
      </c>
      <c r="BO50" t="s">
        <v>124</v>
      </c>
      <c r="BP50" t="s">
        <v>125</v>
      </c>
      <c r="BQ50" t="s">
        <v>491</v>
      </c>
      <c r="BR50">
        <v>160</v>
      </c>
      <c r="BS50" t="s">
        <v>492</v>
      </c>
      <c r="BT50" t="s">
        <v>493</v>
      </c>
      <c r="BU50">
        <v>5925</v>
      </c>
      <c r="BV50" t="s">
        <v>117</v>
      </c>
      <c r="BW50" t="s">
        <v>494</v>
      </c>
      <c r="BX50" s="2">
        <v>44652</v>
      </c>
      <c r="CA50" t="str">
        <f>"5"</f>
        <v>5</v>
      </c>
      <c r="CD50" t="s">
        <v>142</v>
      </c>
      <c r="CF50" t="s">
        <v>261</v>
      </c>
      <c r="CG50" t="s">
        <v>110</v>
      </c>
    </row>
    <row r="51" spans="1:85" x14ac:dyDescent="0.3">
      <c r="A51">
        <v>1756937</v>
      </c>
      <c r="B51">
        <v>128251</v>
      </c>
      <c r="C51" t="str">
        <f>"700101305036"</f>
        <v>700101305036</v>
      </c>
      <c r="D51" t="s">
        <v>495</v>
      </c>
      <c r="E51" t="s">
        <v>496</v>
      </c>
      <c r="F51" t="s">
        <v>497</v>
      </c>
      <c r="G51" s="1">
        <v>25569</v>
      </c>
      <c r="I51" t="s">
        <v>200</v>
      </c>
      <c r="J51" t="s">
        <v>99</v>
      </c>
      <c r="K51" t="s">
        <v>100</v>
      </c>
      <c r="P51" t="s">
        <v>498</v>
      </c>
      <c r="Q51" t="s">
        <v>142</v>
      </c>
      <c r="W51" t="str">
        <f>"2019-09-02T00:00:00"</f>
        <v>2019-09-02T00:00:00</v>
      </c>
      <c r="X51" t="str">
        <f>"107"</f>
        <v>107</v>
      </c>
      <c r="Z51" t="s">
        <v>102</v>
      </c>
      <c r="AA51" t="s">
        <v>135</v>
      </c>
      <c r="AE51" t="s">
        <v>104</v>
      </c>
      <c r="AF51" t="s">
        <v>105</v>
      </c>
      <c r="AG51">
        <v>0.7</v>
      </c>
      <c r="AH51" t="s">
        <v>499</v>
      </c>
      <c r="AI51" t="s">
        <v>107</v>
      </c>
      <c r="AJ51" t="s">
        <v>108</v>
      </c>
      <c r="AM51" t="s">
        <v>109</v>
      </c>
      <c r="AN51" t="s">
        <v>110</v>
      </c>
      <c r="AO51" t="str">
        <f>"13"</f>
        <v>13</v>
      </c>
      <c r="AP51" t="str">
        <f>"34"</f>
        <v>34</v>
      </c>
      <c r="AQ51" t="str">
        <f>"14"</f>
        <v>14</v>
      </c>
      <c r="AR51" t="str">
        <f>"16"</f>
        <v>16</v>
      </c>
      <c r="AS51" t="str">
        <f>"2"</f>
        <v>2</v>
      </c>
      <c r="AT51" t="str">
        <f>"Maratbltaev@mail.ru"</f>
        <v>Maratbltaev@mail.ru</v>
      </c>
      <c r="AU51" t="str">
        <f>"87778803372"</f>
        <v>87778803372</v>
      </c>
      <c r="AV51" t="s">
        <v>168</v>
      </c>
      <c r="AW51" t="s">
        <v>360</v>
      </c>
      <c r="AX51" t="s">
        <v>113</v>
      </c>
      <c r="AY51" t="s">
        <v>416</v>
      </c>
      <c r="AZ51" t="s">
        <v>115</v>
      </c>
      <c r="BA51">
        <v>0.7</v>
      </c>
      <c r="BB51" t="s">
        <v>110</v>
      </c>
      <c r="BC51">
        <v>0</v>
      </c>
      <c r="BF51" t="s">
        <v>280</v>
      </c>
      <c r="BJ51" t="s">
        <v>121</v>
      </c>
      <c r="BK51" t="s">
        <v>122</v>
      </c>
      <c r="BM51" t="s">
        <v>500</v>
      </c>
      <c r="BN51" t="s">
        <v>501</v>
      </c>
      <c r="BO51" t="s">
        <v>502</v>
      </c>
      <c r="BP51" t="s">
        <v>503</v>
      </c>
      <c r="BQ51" t="s">
        <v>504</v>
      </c>
      <c r="BR51" t="s">
        <v>505</v>
      </c>
      <c r="BS51" t="s">
        <v>506</v>
      </c>
      <c r="BT51" t="s">
        <v>507</v>
      </c>
      <c r="BU51" t="s">
        <v>508</v>
      </c>
      <c r="BV51" t="s">
        <v>117</v>
      </c>
      <c r="BW51" t="s">
        <v>509</v>
      </c>
      <c r="BX51" t="s">
        <v>162</v>
      </c>
      <c r="CA51" t="str">
        <f>"0"</f>
        <v>0</v>
      </c>
      <c r="CD51" t="s">
        <v>142</v>
      </c>
      <c r="CF51" t="s">
        <v>130</v>
      </c>
      <c r="CG51" t="s">
        <v>110</v>
      </c>
    </row>
    <row r="52" spans="1:85" x14ac:dyDescent="0.3">
      <c r="A52">
        <v>1969197</v>
      </c>
      <c r="B52">
        <v>150764</v>
      </c>
      <c r="C52" t="str">
        <f>"870411451025"</f>
        <v>870411451025</v>
      </c>
      <c r="D52" t="s">
        <v>510</v>
      </c>
      <c r="E52" t="s">
        <v>511</v>
      </c>
      <c r="G52" s="1">
        <v>31878</v>
      </c>
      <c r="I52" t="s">
        <v>98</v>
      </c>
      <c r="J52" t="s">
        <v>99</v>
      </c>
      <c r="K52" t="s">
        <v>100</v>
      </c>
      <c r="P52" t="s">
        <v>146</v>
      </c>
      <c r="Q52" t="s">
        <v>142</v>
      </c>
      <c r="W52" t="str">
        <f>"2020-08-28T00:00:00"</f>
        <v>2020-08-28T00:00:00</v>
      </c>
      <c r="X52" t="str">
        <f>"23"</f>
        <v>23</v>
      </c>
      <c r="Z52" t="s">
        <v>147</v>
      </c>
      <c r="AA52" t="s">
        <v>135</v>
      </c>
      <c r="AE52" t="s">
        <v>104</v>
      </c>
      <c r="AF52" t="s">
        <v>105</v>
      </c>
      <c r="AG52">
        <v>1.2</v>
      </c>
      <c r="AH52" t="s">
        <v>106</v>
      </c>
      <c r="AI52" t="s">
        <v>107</v>
      </c>
      <c r="AJ52" t="s">
        <v>108</v>
      </c>
      <c r="AM52" t="s">
        <v>109</v>
      </c>
      <c r="AN52" t="s">
        <v>110</v>
      </c>
      <c r="AO52" t="str">
        <f>"11"</f>
        <v>11</v>
      </c>
      <c r="AP52" t="str">
        <f>"12"</f>
        <v>12</v>
      </c>
      <c r="AQ52" t="str">
        <f>"0"</f>
        <v>0</v>
      </c>
      <c r="AR52" t="str">
        <f>"0"</f>
        <v>0</v>
      </c>
      <c r="AS52" t="str">
        <f t="shared" ref="AS52:AS63" si="5">"1"</f>
        <v>1</v>
      </c>
      <c r="AT52" t="str">
        <f>"avdelia_87@mail.ru"</f>
        <v>avdelia_87@mail.ru</v>
      </c>
      <c r="AU52" t="str">
        <f>"87787809044"</f>
        <v>87787809044</v>
      </c>
      <c r="AV52" t="s">
        <v>168</v>
      </c>
      <c r="AW52" t="s">
        <v>137</v>
      </c>
      <c r="AX52" t="s">
        <v>113</v>
      </c>
      <c r="AY52" t="s">
        <v>114</v>
      </c>
      <c r="AZ52" t="s">
        <v>115</v>
      </c>
      <c r="BA52">
        <v>1.2</v>
      </c>
      <c r="BB52" t="s">
        <v>110</v>
      </c>
      <c r="BC52">
        <v>0</v>
      </c>
      <c r="BF52" t="s">
        <v>280</v>
      </c>
      <c r="BJ52" t="s">
        <v>121</v>
      </c>
      <c r="BK52" t="s">
        <v>122</v>
      </c>
      <c r="BM52" t="s">
        <v>385</v>
      </c>
      <c r="BV52" t="s">
        <v>117</v>
      </c>
      <c r="BW52" t="s">
        <v>472</v>
      </c>
      <c r="BX52" s="2">
        <v>44652</v>
      </c>
      <c r="CA52" t="str">
        <f>"0"</f>
        <v>0</v>
      </c>
      <c r="CD52" t="s">
        <v>142</v>
      </c>
      <c r="CF52" t="s">
        <v>130</v>
      </c>
      <c r="CG52" t="s">
        <v>110</v>
      </c>
    </row>
    <row r="53" spans="1:85" x14ac:dyDescent="0.3">
      <c r="A53">
        <v>1972010</v>
      </c>
      <c r="B53">
        <v>821780</v>
      </c>
      <c r="C53" t="str">
        <f>"870527451323"</f>
        <v>870527451323</v>
      </c>
      <c r="D53" t="s">
        <v>512</v>
      </c>
      <c r="E53" t="s">
        <v>513</v>
      </c>
      <c r="F53" t="s">
        <v>514</v>
      </c>
      <c r="G53" s="1">
        <v>31924</v>
      </c>
      <c r="I53" t="s">
        <v>98</v>
      </c>
      <c r="J53" t="s">
        <v>99</v>
      </c>
      <c r="K53" t="s">
        <v>100</v>
      </c>
      <c r="P53" t="s">
        <v>146</v>
      </c>
      <c r="Q53" t="s">
        <v>142</v>
      </c>
      <c r="W53" t="str">
        <f t="shared" ref="W53:W62" si="6">"2020-09-01T00:00:00"</f>
        <v>2020-09-01T00:00:00</v>
      </c>
      <c r="X53" t="str">
        <f>"109"</f>
        <v>109</v>
      </c>
      <c r="Z53" t="s">
        <v>515</v>
      </c>
      <c r="AA53" t="s">
        <v>135</v>
      </c>
      <c r="AE53" t="s">
        <v>104</v>
      </c>
      <c r="AF53" t="s">
        <v>105</v>
      </c>
      <c r="AG53">
        <v>0.7</v>
      </c>
      <c r="AH53" t="s">
        <v>106</v>
      </c>
      <c r="AI53" t="s">
        <v>107</v>
      </c>
      <c r="AJ53" t="s">
        <v>108</v>
      </c>
      <c r="AM53" t="s">
        <v>109</v>
      </c>
      <c r="AN53" t="s">
        <v>110</v>
      </c>
      <c r="AO53" t="str">
        <f>"9"</f>
        <v>9</v>
      </c>
      <c r="AP53" t="str">
        <f>"10"</f>
        <v>10</v>
      </c>
      <c r="AQ53" t="str">
        <f>"9"</f>
        <v>9</v>
      </c>
      <c r="AR53" t="str">
        <f>"9"</f>
        <v>9</v>
      </c>
      <c r="AS53" t="str">
        <f t="shared" si="5"/>
        <v>1</v>
      </c>
      <c r="AT53" t="str">
        <f>"salykova_dina@mail.ru"</f>
        <v>salykova_dina@mail.ru</v>
      </c>
      <c r="AU53" t="str">
        <f>"87019438723"</f>
        <v>87019438723</v>
      </c>
      <c r="AV53" t="s">
        <v>168</v>
      </c>
      <c r="AW53" t="s">
        <v>137</v>
      </c>
      <c r="AX53" t="s">
        <v>113</v>
      </c>
      <c r="AY53" t="s">
        <v>149</v>
      </c>
      <c r="AZ53" t="s">
        <v>115</v>
      </c>
      <c r="BA53">
        <v>0.7</v>
      </c>
      <c r="BB53" t="s">
        <v>516</v>
      </c>
      <c r="BC53">
        <v>0.5</v>
      </c>
      <c r="BD53" t="s">
        <v>117</v>
      </c>
      <c r="BE53">
        <v>0</v>
      </c>
      <c r="BF53" t="s">
        <v>118</v>
      </c>
      <c r="BG53" t="str">
        <f>"236006010073"</f>
        <v>236006010073</v>
      </c>
      <c r="BH53" t="s">
        <v>119</v>
      </c>
      <c r="BI53" t="s">
        <v>120</v>
      </c>
      <c r="BJ53" t="s">
        <v>121</v>
      </c>
      <c r="BK53" t="s">
        <v>122</v>
      </c>
      <c r="BM53" t="s">
        <v>517</v>
      </c>
      <c r="BN53" t="s">
        <v>518</v>
      </c>
      <c r="BO53" t="s">
        <v>519</v>
      </c>
      <c r="BP53" t="s">
        <v>520</v>
      </c>
      <c r="BQ53" t="s">
        <v>521</v>
      </c>
      <c r="BR53" t="s">
        <v>522</v>
      </c>
      <c r="BS53" t="s">
        <v>523</v>
      </c>
      <c r="BT53" t="s">
        <v>524</v>
      </c>
      <c r="BU53" t="s">
        <v>525</v>
      </c>
      <c r="BV53" t="s">
        <v>117</v>
      </c>
      <c r="BW53" t="s">
        <v>129</v>
      </c>
      <c r="CA53" t="str">
        <f>"0"</f>
        <v>0</v>
      </c>
      <c r="CD53" t="s">
        <v>121</v>
      </c>
      <c r="CF53" t="s">
        <v>130</v>
      </c>
      <c r="CG53" t="s">
        <v>110</v>
      </c>
    </row>
    <row r="54" spans="1:85" x14ac:dyDescent="0.3">
      <c r="A54">
        <v>1972884</v>
      </c>
      <c r="B54">
        <v>1433391</v>
      </c>
      <c r="C54" t="str">
        <f>"970412450876"</f>
        <v>970412450876</v>
      </c>
      <c r="D54" t="s">
        <v>526</v>
      </c>
      <c r="E54" t="s">
        <v>527</v>
      </c>
      <c r="F54" t="s">
        <v>528</v>
      </c>
      <c r="G54" s="1">
        <v>35532</v>
      </c>
      <c r="I54" t="s">
        <v>98</v>
      </c>
      <c r="J54" t="s">
        <v>99</v>
      </c>
      <c r="K54" t="s">
        <v>100</v>
      </c>
      <c r="P54" t="s">
        <v>146</v>
      </c>
      <c r="Q54" t="s">
        <v>142</v>
      </c>
      <c r="W54" t="str">
        <f t="shared" si="6"/>
        <v>2020-09-01T00:00:00</v>
      </c>
      <c r="X54" t="str">
        <f>"106"</f>
        <v>106</v>
      </c>
      <c r="Z54" t="s">
        <v>147</v>
      </c>
      <c r="AA54" t="s">
        <v>135</v>
      </c>
      <c r="AE54" t="s">
        <v>104</v>
      </c>
      <c r="AF54" t="s">
        <v>105</v>
      </c>
      <c r="AG54">
        <v>0.5</v>
      </c>
      <c r="AH54" t="s">
        <v>106</v>
      </c>
      <c r="AI54" t="s">
        <v>529</v>
      </c>
      <c r="AJ54" t="s">
        <v>530</v>
      </c>
      <c r="AM54" t="s">
        <v>109</v>
      </c>
      <c r="AN54" t="s">
        <v>110</v>
      </c>
      <c r="AO54" t="str">
        <f>"0"</f>
        <v>0</v>
      </c>
      <c r="AP54" t="str">
        <f>"1"</f>
        <v>1</v>
      </c>
      <c r="AQ54" t="str">
        <f>"0"</f>
        <v>0</v>
      </c>
      <c r="AR54" t="str">
        <f>"0"</f>
        <v>0</v>
      </c>
      <c r="AS54" t="str">
        <f t="shared" si="5"/>
        <v>1</v>
      </c>
      <c r="AT54" t="str">
        <f>"karina_97@mail.ru"</f>
        <v>karina_97@mail.ru</v>
      </c>
      <c r="AU54" t="str">
        <f>"87785064517"</f>
        <v>87785064517</v>
      </c>
      <c r="AV54" t="s">
        <v>168</v>
      </c>
      <c r="AW54" t="s">
        <v>186</v>
      </c>
      <c r="AX54" t="s">
        <v>113</v>
      </c>
      <c r="AY54" t="s">
        <v>233</v>
      </c>
      <c r="AZ54" t="s">
        <v>115</v>
      </c>
      <c r="BA54">
        <v>0.5</v>
      </c>
      <c r="BB54" t="s">
        <v>110</v>
      </c>
      <c r="BC54">
        <v>0</v>
      </c>
      <c r="BF54" t="s">
        <v>138</v>
      </c>
      <c r="BG54" t="str">
        <f>"236006010352"</f>
        <v>236006010352</v>
      </c>
      <c r="BH54" t="s">
        <v>119</v>
      </c>
      <c r="BI54" t="s">
        <v>120</v>
      </c>
      <c r="BJ54" t="s">
        <v>142</v>
      </c>
      <c r="BM54" t="s">
        <v>385</v>
      </c>
      <c r="BV54" t="s">
        <v>233</v>
      </c>
      <c r="BW54" t="s">
        <v>362</v>
      </c>
      <c r="BX54" s="2">
        <v>44652</v>
      </c>
      <c r="CA54" t="str">
        <f>"0"</f>
        <v>0</v>
      </c>
      <c r="CD54" t="s">
        <v>142</v>
      </c>
      <c r="CF54" t="s">
        <v>130</v>
      </c>
      <c r="CG54" t="s">
        <v>110</v>
      </c>
    </row>
    <row r="55" spans="1:85" x14ac:dyDescent="0.3">
      <c r="A55">
        <v>1973266</v>
      </c>
      <c r="B55">
        <v>159229</v>
      </c>
      <c r="C55" t="str">
        <f>"860928450204"</f>
        <v>860928450204</v>
      </c>
      <c r="D55" t="s">
        <v>531</v>
      </c>
      <c r="E55" t="s">
        <v>532</v>
      </c>
      <c r="F55" t="s">
        <v>208</v>
      </c>
      <c r="G55" s="1">
        <v>31683</v>
      </c>
      <c r="I55" t="s">
        <v>98</v>
      </c>
      <c r="J55" t="s">
        <v>99</v>
      </c>
      <c r="K55" t="s">
        <v>244</v>
      </c>
      <c r="P55" t="s">
        <v>146</v>
      </c>
      <c r="Q55" t="s">
        <v>142</v>
      </c>
      <c r="W55" t="str">
        <f t="shared" si="6"/>
        <v>2020-09-01T00:00:00</v>
      </c>
      <c r="X55" t="str">
        <f>"102"</f>
        <v>102</v>
      </c>
      <c r="Z55" t="s">
        <v>102</v>
      </c>
      <c r="AA55" t="s">
        <v>135</v>
      </c>
      <c r="AE55" t="s">
        <v>104</v>
      </c>
      <c r="AF55" t="s">
        <v>170</v>
      </c>
      <c r="AG55">
        <v>1.5</v>
      </c>
      <c r="AH55" t="s">
        <v>106</v>
      </c>
      <c r="AI55" t="s">
        <v>107</v>
      </c>
      <c r="AJ55" t="s">
        <v>108</v>
      </c>
      <c r="AM55" t="s">
        <v>109</v>
      </c>
      <c r="AN55" t="s">
        <v>110</v>
      </c>
      <c r="AO55" t="str">
        <f>"1"</f>
        <v>1</v>
      </c>
      <c r="AP55" t="str">
        <f>"2"</f>
        <v>2</v>
      </c>
      <c r="AQ55" t="str">
        <f>"1"</f>
        <v>1</v>
      </c>
      <c r="AR55" t="str">
        <f>"1"</f>
        <v>1</v>
      </c>
      <c r="AS55" t="str">
        <f t="shared" si="5"/>
        <v>1</v>
      </c>
      <c r="AT55" t="str">
        <f>"alla.chemyshova.1986@mail.ru"</f>
        <v>alla.chemyshova.1986@mail.ru</v>
      </c>
      <c r="AU55" t="str">
        <f>"87052774584"</f>
        <v>87052774584</v>
      </c>
      <c r="AV55" t="s">
        <v>390</v>
      </c>
      <c r="AX55" t="s">
        <v>113</v>
      </c>
      <c r="BB55" t="s">
        <v>436</v>
      </c>
      <c r="BC55">
        <v>0.5</v>
      </c>
      <c r="BF55" t="s">
        <v>280</v>
      </c>
      <c r="BJ55" t="s">
        <v>121</v>
      </c>
      <c r="BK55" t="s">
        <v>122</v>
      </c>
      <c r="BM55" t="s">
        <v>123</v>
      </c>
      <c r="BN55" t="s">
        <v>160</v>
      </c>
      <c r="BO55" t="s">
        <v>533</v>
      </c>
      <c r="BP55" t="s">
        <v>125</v>
      </c>
      <c r="BQ55" t="s">
        <v>249</v>
      </c>
      <c r="BR55">
        <v>120</v>
      </c>
      <c r="BS55" t="s">
        <v>534</v>
      </c>
      <c r="BT55" t="s">
        <v>535</v>
      </c>
      <c r="BU55">
        <v>5796</v>
      </c>
      <c r="BV55" t="s">
        <v>117</v>
      </c>
      <c r="BW55" t="s">
        <v>129</v>
      </c>
      <c r="CD55" t="s">
        <v>121</v>
      </c>
      <c r="CF55" t="s">
        <v>130</v>
      </c>
      <c r="CG55" t="s">
        <v>110</v>
      </c>
    </row>
    <row r="56" spans="1:85" x14ac:dyDescent="0.3">
      <c r="A56">
        <v>2015539</v>
      </c>
      <c r="B56">
        <v>820321</v>
      </c>
      <c r="C56" t="str">
        <f>"680525450423"</f>
        <v>680525450423</v>
      </c>
      <c r="D56" t="s">
        <v>536</v>
      </c>
      <c r="E56" t="s">
        <v>537</v>
      </c>
      <c r="F56" t="s">
        <v>538</v>
      </c>
      <c r="G56" s="1">
        <v>24983</v>
      </c>
      <c r="I56" t="s">
        <v>98</v>
      </c>
      <c r="J56" t="s">
        <v>99</v>
      </c>
      <c r="K56" t="s">
        <v>539</v>
      </c>
      <c r="P56" t="s">
        <v>146</v>
      </c>
      <c r="Q56" t="s">
        <v>142</v>
      </c>
      <c r="W56" t="str">
        <f t="shared" si="6"/>
        <v>2020-09-01T00:00:00</v>
      </c>
      <c r="X56" t="str">
        <f>"108"</f>
        <v>108</v>
      </c>
      <c r="Z56" t="s">
        <v>102</v>
      </c>
      <c r="AA56" t="s">
        <v>135</v>
      </c>
      <c r="AE56" t="s">
        <v>104</v>
      </c>
      <c r="AF56" t="s">
        <v>105</v>
      </c>
      <c r="AG56">
        <v>1.5</v>
      </c>
      <c r="AH56" t="s">
        <v>106</v>
      </c>
      <c r="AI56" t="s">
        <v>107</v>
      </c>
      <c r="AJ56" t="s">
        <v>108</v>
      </c>
      <c r="AM56" t="s">
        <v>109</v>
      </c>
      <c r="AN56" t="s">
        <v>110</v>
      </c>
      <c r="AO56" t="str">
        <f>"22"</f>
        <v>22</v>
      </c>
      <c r="AP56" t="str">
        <f>"23"</f>
        <v>23</v>
      </c>
      <c r="AQ56" t="str">
        <f>"0"</f>
        <v>0</v>
      </c>
      <c r="AR56" t="str">
        <f>"0"</f>
        <v>0</v>
      </c>
      <c r="AS56" t="str">
        <f t="shared" si="5"/>
        <v>1</v>
      </c>
      <c r="AT56" t="str">
        <f>"Leilya_77@mail.ru"</f>
        <v>Leilya_77@mail.ru</v>
      </c>
      <c r="AU56" t="str">
        <f>"87013375771"</f>
        <v>87013375771</v>
      </c>
      <c r="AV56" t="s">
        <v>168</v>
      </c>
      <c r="AW56" t="s">
        <v>279</v>
      </c>
      <c r="AX56" t="s">
        <v>113</v>
      </c>
      <c r="AY56" t="s">
        <v>257</v>
      </c>
      <c r="AZ56" t="s">
        <v>115</v>
      </c>
      <c r="BA56">
        <v>1.5</v>
      </c>
      <c r="BB56" t="s">
        <v>110</v>
      </c>
      <c r="BC56">
        <v>0</v>
      </c>
      <c r="BF56" t="s">
        <v>138</v>
      </c>
      <c r="BG56" t="str">
        <f>"236006010351"</f>
        <v>236006010351</v>
      </c>
      <c r="BH56" t="s">
        <v>119</v>
      </c>
      <c r="BI56" t="s">
        <v>120</v>
      </c>
      <c r="BJ56" t="s">
        <v>121</v>
      </c>
      <c r="BK56" t="s">
        <v>122</v>
      </c>
      <c r="BM56" t="s">
        <v>297</v>
      </c>
      <c r="BN56" t="s">
        <v>257</v>
      </c>
      <c r="BO56" t="s">
        <v>124</v>
      </c>
      <c r="BP56" t="s">
        <v>125</v>
      </c>
      <c r="BQ56" t="s">
        <v>491</v>
      </c>
      <c r="BR56">
        <v>40</v>
      </c>
      <c r="BS56" t="s">
        <v>540</v>
      </c>
      <c r="BT56" t="s">
        <v>541</v>
      </c>
      <c r="BU56" t="s">
        <v>542</v>
      </c>
      <c r="BV56" t="s">
        <v>117</v>
      </c>
      <c r="BW56" t="s">
        <v>543</v>
      </c>
      <c r="BX56" t="s">
        <v>162</v>
      </c>
      <c r="CA56" t="str">
        <f>"17"</f>
        <v>17</v>
      </c>
      <c r="CD56" t="s">
        <v>121</v>
      </c>
      <c r="CF56" t="s">
        <v>261</v>
      </c>
      <c r="CG56" t="s">
        <v>110</v>
      </c>
    </row>
    <row r="57" spans="1:85" x14ac:dyDescent="0.3">
      <c r="A57">
        <v>2015645</v>
      </c>
      <c r="B57">
        <v>819213</v>
      </c>
      <c r="C57" t="str">
        <f>"950110450962"</f>
        <v>950110450962</v>
      </c>
      <c r="D57" t="s">
        <v>544</v>
      </c>
      <c r="E57" t="s">
        <v>545</v>
      </c>
      <c r="F57" t="s">
        <v>546</v>
      </c>
      <c r="G57" s="1">
        <v>34709</v>
      </c>
      <c r="I57" t="s">
        <v>98</v>
      </c>
      <c r="J57" t="s">
        <v>99</v>
      </c>
      <c r="K57" t="s">
        <v>100</v>
      </c>
      <c r="P57" t="s">
        <v>146</v>
      </c>
      <c r="Q57" t="s">
        <v>142</v>
      </c>
      <c r="W57" t="str">
        <f t="shared" si="6"/>
        <v>2020-09-01T00:00:00</v>
      </c>
      <c r="X57" t="str">
        <f>"107"</f>
        <v>107</v>
      </c>
      <c r="Z57" t="s">
        <v>102</v>
      </c>
      <c r="AA57" t="s">
        <v>135</v>
      </c>
      <c r="AE57" t="s">
        <v>104</v>
      </c>
      <c r="AF57" t="s">
        <v>105</v>
      </c>
      <c r="AG57">
        <v>1.1000000000000001</v>
      </c>
      <c r="AH57" t="s">
        <v>106</v>
      </c>
      <c r="AI57" t="s">
        <v>107</v>
      </c>
      <c r="AJ57" t="s">
        <v>108</v>
      </c>
      <c r="AM57" t="s">
        <v>109</v>
      </c>
      <c r="AN57" t="s">
        <v>110</v>
      </c>
      <c r="AO57" t="str">
        <f>"0"</f>
        <v>0</v>
      </c>
      <c r="AP57" t="str">
        <f>"1"</f>
        <v>1</v>
      </c>
      <c r="AQ57" t="str">
        <f>"0"</f>
        <v>0</v>
      </c>
      <c r="AR57" t="str">
        <f>"0"</f>
        <v>0</v>
      </c>
      <c r="AS57" t="str">
        <f t="shared" si="5"/>
        <v>1</v>
      </c>
      <c r="AT57" t="str">
        <f>"ikazzhan@bk.ru"</f>
        <v>ikazzhan@bk.ru</v>
      </c>
      <c r="AU57" t="str">
        <f>"87764321101"</f>
        <v>87764321101</v>
      </c>
      <c r="AV57" t="s">
        <v>390</v>
      </c>
      <c r="AX57" t="s">
        <v>113</v>
      </c>
      <c r="AY57" t="s">
        <v>233</v>
      </c>
      <c r="AZ57" t="s">
        <v>115</v>
      </c>
      <c r="BA57">
        <v>1.1000000000000001</v>
      </c>
      <c r="BB57" t="s">
        <v>110</v>
      </c>
      <c r="BC57">
        <v>0</v>
      </c>
      <c r="BF57" t="s">
        <v>138</v>
      </c>
      <c r="BG57" t="str">
        <f>"236006010356"</f>
        <v>236006010356</v>
      </c>
      <c r="BH57" t="s">
        <v>119</v>
      </c>
      <c r="BI57" t="s">
        <v>120</v>
      </c>
      <c r="BJ57" t="s">
        <v>121</v>
      </c>
      <c r="BK57" t="s">
        <v>122</v>
      </c>
      <c r="BM57" t="s">
        <v>123</v>
      </c>
      <c r="BN57" t="s">
        <v>233</v>
      </c>
      <c r="BO57" t="s">
        <v>547</v>
      </c>
      <c r="BP57" t="s">
        <v>125</v>
      </c>
      <c r="BQ57" t="s">
        <v>249</v>
      </c>
      <c r="BR57">
        <v>72</v>
      </c>
      <c r="BS57" t="s">
        <v>548</v>
      </c>
      <c r="BT57" t="s">
        <v>549</v>
      </c>
      <c r="BU57">
        <v>325252</v>
      </c>
      <c r="BV57" t="s">
        <v>117</v>
      </c>
      <c r="BW57" t="s">
        <v>550</v>
      </c>
      <c r="BX57" t="s">
        <v>162</v>
      </c>
      <c r="CA57" t="str">
        <f>"1"</f>
        <v>1</v>
      </c>
      <c r="CD57" t="s">
        <v>142</v>
      </c>
      <c r="CF57" t="s">
        <v>551</v>
      </c>
      <c r="CG57" t="s">
        <v>110</v>
      </c>
    </row>
    <row r="58" spans="1:85" x14ac:dyDescent="0.3">
      <c r="A58">
        <v>2020185</v>
      </c>
      <c r="B58">
        <v>365129</v>
      </c>
      <c r="C58" t="str">
        <f>"880629451240"</f>
        <v>880629451240</v>
      </c>
      <c r="D58" t="s">
        <v>552</v>
      </c>
      <c r="E58" t="s">
        <v>553</v>
      </c>
      <c r="F58" t="s">
        <v>554</v>
      </c>
      <c r="G58" s="1">
        <v>32323</v>
      </c>
      <c r="I58" t="s">
        <v>98</v>
      </c>
      <c r="J58" t="s">
        <v>99</v>
      </c>
      <c r="K58" t="s">
        <v>100</v>
      </c>
      <c r="P58" t="s">
        <v>146</v>
      </c>
      <c r="Q58" t="s">
        <v>142</v>
      </c>
      <c r="W58" t="str">
        <f t="shared" si="6"/>
        <v>2020-09-01T00:00:00</v>
      </c>
      <c r="X58" t="str">
        <f>"103"</f>
        <v>103</v>
      </c>
      <c r="Z58" t="s">
        <v>102</v>
      </c>
      <c r="AA58" t="s">
        <v>135</v>
      </c>
      <c r="AE58" t="s">
        <v>104</v>
      </c>
      <c r="AF58" t="s">
        <v>105</v>
      </c>
      <c r="AG58">
        <v>0.8</v>
      </c>
      <c r="AH58" t="s">
        <v>106</v>
      </c>
      <c r="AI58" t="s">
        <v>107</v>
      </c>
      <c r="AJ58" t="s">
        <v>108</v>
      </c>
      <c r="AM58" t="s">
        <v>109</v>
      </c>
      <c r="AN58" t="s">
        <v>110</v>
      </c>
      <c r="AO58" t="str">
        <f>"5"</f>
        <v>5</v>
      </c>
      <c r="AP58" t="str">
        <f>"6"</f>
        <v>6</v>
      </c>
      <c r="AQ58" t="str">
        <f>"5"</f>
        <v>5</v>
      </c>
      <c r="AR58" t="str">
        <f>"5"</f>
        <v>5</v>
      </c>
      <c r="AS58" t="str">
        <f t="shared" si="5"/>
        <v>1</v>
      </c>
      <c r="AT58" t="str">
        <f>"imanmusaevahadisa@gmail.com"</f>
        <v>imanmusaevahadisa@gmail.com</v>
      </c>
      <c r="AU58" t="str">
        <f>"87172401882"</f>
        <v>87172401882</v>
      </c>
      <c r="AV58" t="s">
        <v>390</v>
      </c>
      <c r="AX58" t="s">
        <v>113</v>
      </c>
      <c r="AY58" t="s">
        <v>257</v>
      </c>
      <c r="AZ58" t="s">
        <v>115</v>
      </c>
      <c r="BA58">
        <v>0.8</v>
      </c>
      <c r="BB58" t="s">
        <v>110</v>
      </c>
      <c r="BC58">
        <v>0</v>
      </c>
      <c r="BF58" t="s">
        <v>138</v>
      </c>
      <c r="BG58" t="str">
        <f>"236006010373"</f>
        <v>236006010373</v>
      </c>
      <c r="BH58" t="s">
        <v>119</v>
      </c>
      <c r="BI58" t="s">
        <v>120</v>
      </c>
      <c r="BJ58" t="s">
        <v>121</v>
      </c>
      <c r="BK58" t="s">
        <v>122</v>
      </c>
      <c r="BM58" t="s">
        <v>385</v>
      </c>
      <c r="BV58" t="s">
        <v>117</v>
      </c>
      <c r="BW58" t="s">
        <v>555</v>
      </c>
      <c r="BX58" t="s">
        <v>162</v>
      </c>
      <c r="CA58" t="str">
        <f>"5"</f>
        <v>5</v>
      </c>
      <c r="CD58" t="s">
        <v>142</v>
      </c>
      <c r="CF58" t="s">
        <v>556</v>
      </c>
      <c r="CG58" t="s">
        <v>110</v>
      </c>
    </row>
    <row r="59" spans="1:85" x14ac:dyDescent="0.3">
      <c r="A59">
        <v>2020237</v>
      </c>
      <c r="B59">
        <v>1079897</v>
      </c>
      <c r="C59" t="str">
        <f>"950807000035"</f>
        <v>950807000035</v>
      </c>
      <c r="D59" t="s">
        <v>557</v>
      </c>
      <c r="E59" t="s">
        <v>558</v>
      </c>
      <c r="F59" t="s">
        <v>559</v>
      </c>
      <c r="G59" s="1">
        <v>34918</v>
      </c>
      <c r="I59" t="s">
        <v>98</v>
      </c>
      <c r="J59" t="s">
        <v>99</v>
      </c>
      <c r="K59" t="s">
        <v>100</v>
      </c>
      <c r="P59" t="s">
        <v>146</v>
      </c>
      <c r="Q59" t="s">
        <v>142</v>
      </c>
      <c r="W59" t="str">
        <f t="shared" si="6"/>
        <v>2020-09-01T00:00:00</v>
      </c>
      <c r="X59" t="str">
        <f>"105"</f>
        <v>105</v>
      </c>
      <c r="Z59" t="s">
        <v>102</v>
      </c>
      <c r="AA59" t="s">
        <v>135</v>
      </c>
      <c r="AE59" t="s">
        <v>481</v>
      </c>
      <c r="AF59" t="s">
        <v>105</v>
      </c>
      <c r="AG59">
        <v>0</v>
      </c>
      <c r="AH59" t="s">
        <v>106</v>
      </c>
      <c r="AI59" t="s">
        <v>107</v>
      </c>
      <c r="AJ59" t="s">
        <v>108</v>
      </c>
      <c r="AM59" t="s">
        <v>109</v>
      </c>
      <c r="AN59" t="s">
        <v>110</v>
      </c>
      <c r="AO59" t="str">
        <f>"1"</f>
        <v>1</v>
      </c>
      <c r="AP59" t="str">
        <f>"2"</f>
        <v>2</v>
      </c>
      <c r="AQ59" t="str">
        <f>"1"</f>
        <v>1</v>
      </c>
      <c r="AR59" t="str">
        <f>"1"</f>
        <v>1</v>
      </c>
      <c r="AS59" t="str">
        <f t="shared" si="5"/>
        <v>1</v>
      </c>
      <c r="AT59" t="str">
        <f>"turganbaevaa47@gmail.com"</f>
        <v>turganbaevaa47@gmail.com</v>
      </c>
      <c r="AU59" t="str">
        <f>"87783037114"</f>
        <v>87783037114</v>
      </c>
      <c r="AV59" t="s">
        <v>390</v>
      </c>
      <c r="AX59" t="s">
        <v>113</v>
      </c>
      <c r="AY59" t="s">
        <v>257</v>
      </c>
      <c r="AZ59" t="s">
        <v>115</v>
      </c>
      <c r="BA59">
        <v>0</v>
      </c>
      <c r="BB59" t="s">
        <v>110</v>
      </c>
      <c r="BC59">
        <v>0</v>
      </c>
      <c r="BM59" t="s">
        <v>123</v>
      </c>
      <c r="BN59" t="s">
        <v>257</v>
      </c>
      <c r="BO59" t="s">
        <v>124</v>
      </c>
      <c r="BP59" t="s">
        <v>125</v>
      </c>
      <c r="BQ59" t="s">
        <v>249</v>
      </c>
      <c r="BR59">
        <v>160</v>
      </c>
      <c r="BS59" t="s">
        <v>560</v>
      </c>
      <c r="BT59" t="s">
        <v>561</v>
      </c>
      <c r="BU59">
        <v>19856</v>
      </c>
      <c r="BV59" t="s">
        <v>117</v>
      </c>
      <c r="BW59" t="s">
        <v>129</v>
      </c>
      <c r="CA59" t="str">
        <f>"0"</f>
        <v>0</v>
      </c>
      <c r="CD59" t="s">
        <v>121</v>
      </c>
      <c r="CF59" t="s">
        <v>261</v>
      </c>
      <c r="CG59" t="s">
        <v>110</v>
      </c>
    </row>
    <row r="60" spans="1:85" x14ac:dyDescent="0.3">
      <c r="A60">
        <v>2020297</v>
      </c>
      <c r="B60">
        <v>1452070</v>
      </c>
      <c r="C60" t="str">
        <f>"651230301204"</f>
        <v>651230301204</v>
      </c>
      <c r="D60" t="s">
        <v>562</v>
      </c>
      <c r="E60" t="s">
        <v>563</v>
      </c>
      <c r="F60" t="s">
        <v>564</v>
      </c>
      <c r="G60" s="1">
        <v>24106</v>
      </c>
      <c r="I60" t="s">
        <v>200</v>
      </c>
      <c r="J60" t="s">
        <v>99</v>
      </c>
      <c r="K60" t="s">
        <v>100</v>
      </c>
      <c r="P60" t="s">
        <v>146</v>
      </c>
      <c r="Q60" t="s">
        <v>142</v>
      </c>
      <c r="W60" t="str">
        <f t="shared" si="6"/>
        <v>2020-09-01T00:00:00</v>
      </c>
      <c r="X60" t="str">
        <f>"101"</f>
        <v>101</v>
      </c>
      <c r="Z60" t="s">
        <v>102</v>
      </c>
      <c r="AA60" t="s">
        <v>135</v>
      </c>
      <c r="AE60" t="s">
        <v>104</v>
      </c>
      <c r="AF60" t="s">
        <v>105</v>
      </c>
      <c r="AG60">
        <v>1</v>
      </c>
      <c r="AH60" t="s">
        <v>106</v>
      </c>
      <c r="AI60" t="s">
        <v>107</v>
      </c>
      <c r="AJ60" t="s">
        <v>108</v>
      </c>
      <c r="AM60" t="s">
        <v>109</v>
      </c>
      <c r="AN60" t="s">
        <v>110</v>
      </c>
      <c r="AO60" t="str">
        <f>"12"</f>
        <v>12</v>
      </c>
      <c r="AP60" t="str">
        <f>"13"</f>
        <v>13</v>
      </c>
      <c r="AQ60" t="str">
        <f>"12"</f>
        <v>12</v>
      </c>
      <c r="AR60" t="str">
        <f>"12"</f>
        <v>12</v>
      </c>
      <c r="AS60" t="str">
        <f t="shared" si="5"/>
        <v>1</v>
      </c>
      <c r="AT60" t="str">
        <f>"aydynduysekenov@mail.ru"</f>
        <v>aydynduysekenov@mail.ru</v>
      </c>
      <c r="AU60" t="str">
        <f>"87024220206"</f>
        <v>87024220206</v>
      </c>
      <c r="AV60" t="s">
        <v>390</v>
      </c>
      <c r="AX60" t="s">
        <v>113</v>
      </c>
      <c r="AY60" t="s">
        <v>416</v>
      </c>
      <c r="AZ60" t="s">
        <v>115</v>
      </c>
      <c r="BA60">
        <v>1</v>
      </c>
      <c r="BB60" t="s">
        <v>110</v>
      </c>
      <c r="BC60">
        <v>0</v>
      </c>
      <c r="BF60" t="s">
        <v>138</v>
      </c>
      <c r="BG60" t="str">
        <f>"236006010353"</f>
        <v>236006010353</v>
      </c>
      <c r="BH60" t="s">
        <v>119</v>
      </c>
      <c r="BI60" t="s">
        <v>120</v>
      </c>
      <c r="BJ60" t="s">
        <v>121</v>
      </c>
      <c r="BK60" t="s">
        <v>122</v>
      </c>
      <c r="BM60" t="s">
        <v>385</v>
      </c>
      <c r="BV60" t="s">
        <v>117</v>
      </c>
      <c r="BW60" t="s">
        <v>555</v>
      </c>
      <c r="BX60" t="s">
        <v>162</v>
      </c>
      <c r="CA60" t="str">
        <f>"0"</f>
        <v>0</v>
      </c>
      <c r="CD60" t="s">
        <v>142</v>
      </c>
      <c r="CF60" t="s">
        <v>130</v>
      </c>
      <c r="CG60" t="s">
        <v>110</v>
      </c>
    </row>
    <row r="61" spans="1:85" x14ac:dyDescent="0.3">
      <c r="A61">
        <v>2031598</v>
      </c>
      <c r="B61">
        <v>1456874</v>
      </c>
      <c r="C61" t="str">
        <f>"010530600568"</f>
        <v>010530600568</v>
      </c>
      <c r="D61" t="s">
        <v>218</v>
      </c>
      <c r="E61" t="s">
        <v>565</v>
      </c>
      <c r="F61" t="s">
        <v>566</v>
      </c>
      <c r="G61" s="1">
        <v>37041</v>
      </c>
      <c r="I61" t="s">
        <v>98</v>
      </c>
      <c r="J61" t="s">
        <v>99</v>
      </c>
      <c r="K61" t="s">
        <v>100</v>
      </c>
      <c r="P61" t="s">
        <v>146</v>
      </c>
      <c r="Q61" t="s">
        <v>142</v>
      </c>
      <c r="W61" t="str">
        <f t="shared" si="6"/>
        <v>2020-09-01T00:00:00</v>
      </c>
      <c r="X61" t="str">
        <f>"112"</f>
        <v>112</v>
      </c>
      <c r="Z61" t="s">
        <v>567</v>
      </c>
      <c r="AA61" t="s">
        <v>135</v>
      </c>
      <c r="AE61" t="s">
        <v>481</v>
      </c>
      <c r="AF61" t="s">
        <v>160</v>
      </c>
      <c r="AG61">
        <v>0</v>
      </c>
      <c r="AH61" t="s">
        <v>106</v>
      </c>
      <c r="AI61" t="s">
        <v>107</v>
      </c>
      <c r="AJ61" t="s">
        <v>407</v>
      </c>
      <c r="AM61" t="s">
        <v>205</v>
      </c>
      <c r="AO61" t="str">
        <f>"1"</f>
        <v>1</v>
      </c>
      <c r="AP61" t="str">
        <f>"5"</f>
        <v>5</v>
      </c>
      <c r="AR61" t="str">
        <f>"0"</f>
        <v>0</v>
      </c>
      <c r="AS61" t="str">
        <f t="shared" si="5"/>
        <v>1</v>
      </c>
      <c r="AX61" t="s">
        <v>129</v>
      </c>
      <c r="BB61" t="s">
        <v>110</v>
      </c>
      <c r="BC61">
        <v>0</v>
      </c>
      <c r="BW61" t="s">
        <v>129</v>
      </c>
    </row>
    <row r="62" spans="1:85" x14ac:dyDescent="0.3">
      <c r="A62">
        <v>2035973</v>
      </c>
      <c r="B62">
        <v>756258</v>
      </c>
      <c r="C62" t="str">
        <f>"640901303799"</f>
        <v>640901303799</v>
      </c>
      <c r="D62" t="s">
        <v>568</v>
      </c>
      <c r="E62" t="s">
        <v>569</v>
      </c>
      <c r="F62" t="s">
        <v>570</v>
      </c>
      <c r="G62" s="1">
        <v>23621</v>
      </c>
      <c r="I62" t="s">
        <v>200</v>
      </c>
      <c r="J62" t="s">
        <v>99</v>
      </c>
      <c r="K62" t="s">
        <v>100</v>
      </c>
      <c r="P62" t="s">
        <v>201</v>
      </c>
      <c r="Q62" t="s">
        <v>142</v>
      </c>
      <c r="W62" t="str">
        <f t="shared" si="6"/>
        <v>2020-09-01T00:00:00</v>
      </c>
      <c r="X62" t="str">
        <f>"98"</f>
        <v>98</v>
      </c>
      <c r="Z62" t="s">
        <v>134</v>
      </c>
      <c r="AA62" t="s">
        <v>135</v>
      </c>
      <c r="AE62" t="s">
        <v>104</v>
      </c>
      <c r="AF62" t="s">
        <v>105</v>
      </c>
      <c r="AG62">
        <v>1</v>
      </c>
      <c r="AH62" t="s">
        <v>106</v>
      </c>
      <c r="AI62" t="s">
        <v>107</v>
      </c>
      <c r="AJ62" t="s">
        <v>108</v>
      </c>
      <c r="AM62" t="s">
        <v>109</v>
      </c>
      <c r="AN62" t="s">
        <v>110</v>
      </c>
      <c r="AO62" t="str">
        <f>"26"</f>
        <v>26</v>
      </c>
      <c r="AP62" t="str">
        <f>"27"</f>
        <v>27</v>
      </c>
      <c r="AQ62" t="str">
        <f>"26"</f>
        <v>26</v>
      </c>
      <c r="AR62" t="str">
        <f>"26"</f>
        <v>26</v>
      </c>
      <c r="AS62" t="str">
        <f t="shared" si="5"/>
        <v>1</v>
      </c>
      <c r="AT62" t="str">
        <f>"kanatmuzhybaev@mail.ru"</f>
        <v>kanatmuzhybaev@mail.ru</v>
      </c>
      <c r="AU62" t="str">
        <f>"87781122775"</f>
        <v>87781122775</v>
      </c>
      <c r="AV62" t="s">
        <v>337</v>
      </c>
      <c r="AW62" t="s">
        <v>490</v>
      </c>
      <c r="AX62" t="s">
        <v>113</v>
      </c>
      <c r="AY62" t="s">
        <v>416</v>
      </c>
      <c r="AZ62" t="s">
        <v>115</v>
      </c>
      <c r="BA62">
        <v>1</v>
      </c>
      <c r="BB62" t="s">
        <v>105</v>
      </c>
      <c r="BC62">
        <v>0.5</v>
      </c>
      <c r="BD62" t="s">
        <v>571</v>
      </c>
      <c r="BE62">
        <v>0.5</v>
      </c>
      <c r="BF62" t="s">
        <v>118</v>
      </c>
      <c r="BG62" t="str">
        <f>"236006010074"</f>
        <v>236006010074</v>
      </c>
      <c r="BH62" t="s">
        <v>119</v>
      </c>
      <c r="BI62" t="s">
        <v>120</v>
      </c>
      <c r="BJ62" t="s">
        <v>121</v>
      </c>
      <c r="BK62" t="s">
        <v>122</v>
      </c>
      <c r="BM62" t="s">
        <v>385</v>
      </c>
      <c r="BV62" t="s">
        <v>117</v>
      </c>
      <c r="BW62" t="s">
        <v>572</v>
      </c>
      <c r="BX62" t="s">
        <v>162</v>
      </c>
      <c r="CA62" t="str">
        <f>"0"</f>
        <v>0</v>
      </c>
      <c r="CD62" t="s">
        <v>142</v>
      </c>
      <c r="CF62" t="s">
        <v>275</v>
      </c>
      <c r="CG62" t="s">
        <v>110</v>
      </c>
    </row>
    <row r="63" spans="1:85" x14ac:dyDescent="0.3">
      <c r="A63">
        <v>2089535</v>
      </c>
      <c r="B63">
        <v>1481766</v>
      </c>
      <c r="C63" t="str">
        <f>"650808350589"</f>
        <v>650808350589</v>
      </c>
      <c r="D63" t="s">
        <v>573</v>
      </c>
      <c r="E63" t="s">
        <v>574</v>
      </c>
      <c r="F63" t="s">
        <v>575</v>
      </c>
      <c r="G63" s="1">
        <v>23962</v>
      </c>
      <c r="I63" t="s">
        <v>200</v>
      </c>
      <c r="J63" t="s">
        <v>99</v>
      </c>
      <c r="K63" t="s">
        <v>100</v>
      </c>
      <c r="P63" t="s">
        <v>146</v>
      </c>
      <c r="Q63" t="s">
        <v>142</v>
      </c>
      <c r="W63" t="str">
        <f>"2020-11-02T00:00:00"</f>
        <v>2020-11-02T00:00:00</v>
      </c>
      <c r="X63" t="str">
        <f>"31"</f>
        <v>31</v>
      </c>
      <c r="Z63" t="s">
        <v>515</v>
      </c>
      <c r="AA63" t="s">
        <v>135</v>
      </c>
      <c r="AE63" t="s">
        <v>104</v>
      </c>
      <c r="AF63" t="s">
        <v>105</v>
      </c>
      <c r="AG63">
        <v>0.5</v>
      </c>
      <c r="AH63" t="s">
        <v>106</v>
      </c>
      <c r="AI63" t="s">
        <v>107</v>
      </c>
      <c r="AJ63" t="s">
        <v>108</v>
      </c>
      <c r="AM63" t="s">
        <v>109</v>
      </c>
      <c r="AN63" t="s">
        <v>110</v>
      </c>
      <c r="AO63" t="str">
        <f>"10"</f>
        <v>10</v>
      </c>
      <c r="AP63" t="str">
        <f>"11"</f>
        <v>11</v>
      </c>
      <c r="AQ63" t="str">
        <f>"10"</f>
        <v>10</v>
      </c>
      <c r="AR63" t="str">
        <f>"10"</f>
        <v>10</v>
      </c>
      <c r="AS63" t="str">
        <f t="shared" si="5"/>
        <v>1</v>
      </c>
      <c r="AT63" t="str">
        <f>"madylxan08081965@gmail.com"</f>
        <v>madylxan08081965@gmail.com</v>
      </c>
      <c r="AU63" t="str">
        <f>"87477370865"</f>
        <v>87477370865</v>
      </c>
      <c r="AV63" t="s">
        <v>390</v>
      </c>
      <c r="AX63" t="s">
        <v>113</v>
      </c>
      <c r="AY63" t="s">
        <v>429</v>
      </c>
      <c r="AZ63" t="s">
        <v>115</v>
      </c>
      <c r="BA63">
        <v>0.5</v>
      </c>
      <c r="BB63" t="s">
        <v>110</v>
      </c>
      <c r="BC63">
        <v>0</v>
      </c>
      <c r="BF63" t="s">
        <v>118</v>
      </c>
      <c r="BG63" t="str">
        <f>"236006010075"</f>
        <v>236006010075</v>
      </c>
      <c r="BH63" t="s">
        <v>119</v>
      </c>
      <c r="BI63" t="s">
        <v>120</v>
      </c>
      <c r="BJ63" t="s">
        <v>121</v>
      </c>
      <c r="BK63" t="s">
        <v>122</v>
      </c>
      <c r="BM63" t="s">
        <v>385</v>
      </c>
      <c r="BV63" t="s">
        <v>117</v>
      </c>
      <c r="BW63" t="s">
        <v>576</v>
      </c>
      <c r="BX63" t="s">
        <v>162</v>
      </c>
      <c r="CA63" t="str">
        <f>"0"</f>
        <v>0</v>
      </c>
      <c r="CD63" t="s">
        <v>142</v>
      </c>
      <c r="CF63" t="s">
        <v>181</v>
      </c>
      <c r="CG63" t="s">
        <v>110</v>
      </c>
    </row>
    <row r="64" spans="1:85" x14ac:dyDescent="0.3">
      <c r="A64">
        <v>2146832</v>
      </c>
      <c r="B64">
        <v>1504094</v>
      </c>
      <c r="C64" t="str">
        <f>"850707351064"</f>
        <v>850707351064</v>
      </c>
      <c r="D64" t="s">
        <v>577</v>
      </c>
      <c r="E64" t="s">
        <v>578</v>
      </c>
      <c r="F64" t="s">
        <v>579</v>
      </c>
      <c r="G64" s="1">
        <v>31235</v>
      </c>
      <c r="I64" t="s">
        <v>200</v>
      </c>
      <c r="J64" t="s">
        <v>99</v>
      </c>
      <c r="K64" t="s">
        <v>244</v>
      </c>
      <c r="P64" t="s">
        <v>146</v>
      </c>
      <c r="Q64" t="s">
        <v>142</v>
      </c>
      <c r="W64" t="str">
        <f>"2021-09-01T00:00:00"</f>
        <v>2021-09-01T00:00:00</v>
      </c>
      <c r="X64" t="str">
        <f>"127"</f>
        <v>127</v>
      </c>
      <c r="Z64" t="s">
        <v>580</v>
      </c>
      <c r="AA64" t="s">
        <v>135</v>
      </c>
      <c r="AE64" t="s">
        <v>104</v>
      </c>
      <c r="AF64" t="s">
        <v>581</v>
      </c>
      <c r="AG64">
        <v>1</v>
      </c>
      <c r="AH64" t="s">
        <v>106</v>
      </c>
      <c r="AI64" t="s">
        <v>107</v>
      </c>
      <c r="AJ64" t="s">
        <v>185</v>
      </c>
      <c r="AM64" t="s">
        <v>109</v>
      </c>
      <c r="AN64" t="s">
        <v>110</v>
      </c>
      <c r="AO64" t="str">
        <f>"1"</f>
        <v>1</v>
      </c>
      <c r="AP64" t="str">
        <f>"1"</f>
        <v>1</v>
      </c>
      <c r="AQ64" t="str">
        <f>"0"</f>
        <v>0</v>
      </c>
      <c r="AR64" t="str">
        <f>"0"</f>
        <v>0</v>
      </c>
      <c r="AS64" t="str">
        <f>"0"</f>
        <v>0</v>
      </c>
      <c r="AT64" t="str">
        <f>"bogatov_85@internet.ru"</f>
        <v>bogatov_85@internet.ru</v>
      </c>
      <c r="AU64" t="str">
        <f>"87075668397"</f>
        <v>87075668397</v>
      </c>
      <c r="AV64" t="s">
        <v>390</v>
      </c>
      <c r="AX64" t="s">
        <v>113</v>
      </c>
      <c r="BB64" t="s">
        <v>105</v>
      </c>
      <c r="BC64">
        <v>0.5</v>
      </c>
      <c r="BD64" t="s">
        <v>416</v>
      </c>
      <c r="BE64">
        <v>0.5</v>
      </c>
      <c r="BF64" t="s">
        <v>280</v>
      </c>
      <c r="BJ64" t="s">
        <v>121</v>
      </c>
      <c r="BK64" t="s">
        <v>122</v>
      </c>
      <c r="BM64" t="s">
        <v>385</v>
      </c>
      <c r="BV64" t="s">
        <v>117</v>
      </c>
      <c r="BW64" t="s">
        <v>582</v>
      </c>
      <c r="BX64" t="s">
        <v>162</v>
      </c>
      <c r="CA64" t="str">
        <f>"0"</f>
        <v>0</v>
      </c>
      <c r="CD64" t="s">
        <v>142</v>
      </c>
      <c r="CF64" t="s">
        <v>181</v>
      </c>
      <c r="CG64" t="s">
        <v>110</v>
      </c>
    </row>
    <row r="65" spans="1:85" x14ac:dyDescent="0.3">
      <c r="A65">
        <v>2150748</v>
      </c>
      <c r="B65">
        <v>1505799</v>
      </c>
      <c r="C65" t="str">
        <f>"570117301339"</f>
        <v>570117301339</v>
      </c>
      <c r="D65" t="s">
        <v>583</v>
      </c>
      <c r="E65" t="s">
        <v>584</v>
      </c>
      <c r="F65" t="s">
        <v>585</v>
      </c>
      <c r="G65" s="1">
        <v>20837</v>
      </c>
      <c r="I65" t="s">
        <v>200</v>
      </c>
      <c r="J65" t="s">
        <v>99</v>
      </c>
      <c r="K65" t="s">
        <v>100</v>
      </c>
      <c r="P65" t="s">
        <v>146</v>
      </c>
      <c r="Q65" t="s">
        <v>142</v>
      </c>
      <c r="W65" t="str">
        <f>"2021-01-04T00:00:00"</f>
        <v>2021-01-04T00:00:00</v>
      </c>
      <c r="X65" t="str">
        <f>"4/1"</f>
        <v>4/1</v>
      </c>
      <c r="Z65" t="s">
        <v>567</v>
      </c>
      <c r="AA65" t="s">
        <v>135</v>
      </c>
      <c r="AE65" t="s">
        <v>104</v>
      </c>
      <c r="AF65" t="s">
        <v>160</v>
      </c>
      <c r="AG65">
        <v>0.5</v>
      </c>
      <c r="AH65" t="s">
        <v>106</v>
      </c>
      <c r="AI65" t="s">
        <v>107</v>
      </c>
      <c r="AJ65" t="s">
        <v>407</v>
      </c>
      <c r="AM65" t="s">
        <v>205</v>
      </c>
      <c r="AO65" t="str">
        <f>"46"</f>
        <v>46</v>
      </c>
      <c r="AP65" t="str">
        <f>"47"</f>
        <v>47</v>
      </c>
      <c r="AR65" t="str">
        <f>"0"</f>
        <v>0</v>
      </c>
      <c r="AS65" t="str">
        <f>"1"</f>
        <v>1</v>
      </c>
      <c r="BB65" t="s">
        <v>110</v>
      </c>
      <c r="BC65">
        <v>0</v>
      </c>
    </row>
    <row r="66" spans="1:85" x14ac:dyDescent="0.3">
      <c r="A66">
        <v>2236524</v>
      </c>
      <c r="B66">
        <v>1541257</v>
      </c>
      <c r="C66" t="str">
        <f>"920102350499"</f>
        <v>920102350499</v>
      </c>
      <c r="D66" t="s">
        <v>586</v>
      </c>
      <c r="E66" t="s">
        <v>587</v>
      </c>
      <c r="F66" t="s">
        <v>588</v>
      </c>
      <c r="G66" s="1">
        <v>33605</v>
      </c>
      <c r="I66" t="s">
        <v>200</v>
      </c>
      <c r="J66" t="s">
        <v>99</v>
      </c>
      <c r="K66" t="s">
        <v>100</v>
      </c>
      <c r="P66" t="s">
        <v>146</v>
      </c>
      <c r="Q66" t="s">
        <v>142</v>
      </c>
      <c r="W66" t="str">
        <f>"2021-09-01T00:00:00"</f>
        <v>2021-09-01T00:00:00</v>
      </c>
      <c r="X66" t="str">
        <f>"109"</f>
        <v>109</v>
      </c>
      <c r="Z66" t="s">
        <v>102</v>
      </c>
      <c r="AA66" t="s">
        <v>135</v>
      </c>
      <c r="AE66" t="s">
        <v>104</v>
      </c>
      <c r="AF66" t="s">
        <v>105</v>
      </c>
      <c r="AG66">
        <v>0.9</v>
      </c>
      <c r="AH66" t="s">
        <v>106</v>
      </c>
      <c r="AI66" t="s">
        <v>107</v>
      </c>
      <c r="AJ66" t="s">
        <v>108</v>
      </c>
      <c r="AM66" t="s">
        <v>109</v>
      </c>
      <c r="AN66" t="s">
        <v>110</v>
      </c>
      <c r="AO66" t="str">
        <f>"7"</f>
        <v>7</v>
      </c>
      <c r="AP66" t="str">
        <f>"7"</f>
        <v>7</v>
      </c>
      <c r="AQ66" t="str">
        <f>"0"</f>
        <v>0</v>
      </c>
      <c r="AR66" t="str">
        <f>"0"</f>
        <v>0</v>
      </c>
      <c r="AS66" t="str">
        <f t="shared" ref="AS66:AS72" si="7">"0"</f>
        <v>0</v>
      </c>
      <c r="AT66" t="str">
        <f>"Alijan.sevgisi@mail.ru"</f>
        <v>Alijan.sevgisi@mail.ru</v>
      </c>
      <c r="AU66" t="str">
        <f>"87051601212"</f>
        <v>87051601212</v>
      </c>
      <c r="AV66" t="s">
        <v>390</v>
      </c>
      <c r="AX66" t="s">
        <v>113</v>
      </c>
      <c r="AY66" t="s">
        <v>114</v>
      </c>
      <c r="AZ66" t="s">
        <v>115</v>
      </c>
      <c r="BA66">
        <v>0.9</v>
      </c>
      <c r="BB66" t="s">
        <v>110</v>
      </c>
      <c r="BC66">
        <v>0</v>
      </c>
      <c r="BF66" t="s">
        <v>280</v>
      </c>
      <c r="BJ66" t="s">
        <v>121</v>
      </c>
      <c r="BK66" t="s">
        <v>122</v>
      </c>
      <c r="BM66" t="s">
        <v>385</v>
      </c>
      <c r="BV66" t="s">
        <v>117</v>
      </c>
      <c r="BW66" t="s">
        <v>274</v>
      </c>
      <c r="BX66" s="2">
        <v>44652</v>
      </c>
      <c r="CA66" t="str">
        <f>"0"</f>
        <v>0</v>
      </c>
      <c r="CD66" t="s">
        <v>142</v>
      </c>
      <c r="CF66" t="s">
        <v>130</v>
      </c>
      <c r="CG66" t="s">
        <v>110</v>
      </c>
    </row>
    <row r="67" spans="1:85" x14ac:dyDescent="0.3">
      <c r="A67">
        <v>2236869</v>
      </c>
      <c r="B67">
        <v>1541368</v>
      </c>
      <c r="C67" t="str">
        <f>"680214450234"</f>
        <v>680214450234</v>
      </c>
      <c r="D67" t="s">
        <v>589</v>
      </c>
      <c r="E67" t="s">
        <v>590</v>
      </c>
      <c r="F67" t="s">
        <v>208</v>
      </c>
      <c r="G67" s="1">
        <v>24882</v>
      </c>
      <c r="I67" t="s">
        <v>98</v>
      </c>
      <c r="J67" t="s">
        <v>99</v>
      </c>
      <c r="K67" t="s">
        <v>244</v>
      </c>
      <c r="P67" t="s">
        <v>146</v>
      </c>
      <c r="Q67" t="s">
        <v>142</v>
      </c>
      <c r="W67" t="str">
        <f>"2021-09-01T00:00:00"</f>
        <v>2021-09-01T00:00:00</v>
      </c>
      <c r="X67" t="str">
        <f>"114"</f>
        <v>114</v>
      </c>
      <c r="Z67" t="s">
        <v>102</v>
      </c>
      <c r="AA67" t="s">
        <v>135</v>
      </c>
      <c r="AE67" t="s">
        <v>104</v>
      </c>
      <c r="AF67" t="s">
        <v>406</v>
      </c>
      <c r="AG67">
        <v>1</v>
      </c>
      <c r="AH67" t="s">
        <v>106</v>
      </c>
      <c r="AI67" t="s">
        <v>107</v>
      </c>
      <c r="AJ67" t="s">
        <v>403</v>
      </c>
      <c r="AM67" t="s">
        <v>205</v>
      </c>
      <c r="AO67" t="str">
        <f t="shared" ref="AO67:AP69" si="8">"0"</f>
        <v>0</v>
      </c>
      <c r="AP67" t="str">
        <f t="shared" si="8"/>
        <v>0</v>
      </c>
      <c r="AR67" t="str">
        <f>"0"</f>
        <v>0</v>
      </c>
      <c r="AS67" t="str">
        <f t="shared" si="7"/>
        <v>0</v>
      </c>
      <c r="BB67" t="s">
        <v>110</v>
      </c>
      <c r="BC67">
        <v>0</v>
      </c>
    </row>
    <row r="68" spans="1:85" x14ac:dyDescent="0.3">
      <c r="A68">
        <v>2236926</v>
      </c>
      <c r="B68">
        <v>1541386</v>
      </c>
      <c r="C68" t="str">
        <f>"921102450170"</f>
        <v>921102450170</v>
      </c>
      <c r="D68" t="s">
        <v>591</v>
      </c>
      <c r="E68" t="s">
        <v>592</v>
      </c>
      <c r="F68" t="s">
        <v>383</v>
      </c>
      <c r="G68" s="1">
        <v>33910</v>
      </c>
      <c r="I68" t="s">
        <v>98</v>
      </c>
      <c r="J68" t="s">
        <v>99</v>
      </c>
      <c r="K68" t="s">
        <v>593</v>
      </c>
      <c r="P68" t="s">
        <v>146</v>
      </c>
      <c r="Q68" t="s">
        <v>142</v>
      </c>
      <c r="W68" t="str">
        <f>"2021-09-01T00:00:00"</f>
        <v>2021-09-01T00:00:00</v>
      </c>
      <c r="X68" t="str">
        <f>"112"</f>
        <v>112</v>
      </c>
      <c r="Z68" t="s">
        <v>567</v>
      </c>
      <c r="AA68" t="s">
        <v>135</v>
      </c>
      <c r="AE68" t="s">
        <v>104</v>
      </c>
      <c r="AF68" t="s">
        <v>406</v>
      </c>
      <c r="AG68">
        <v>1</v>
      </c>
      <c r="AH68" t="s">
        <v>106</v>
      </c>
      <c r="AI68" t="s">
        <v>107</v>
      </c>
      <c r="AJ68" t="s">
        <v>403</v>
      </c>
      <c r="AM68" t="s">
        <v>109</v>
      </c>
      <c r="AO68" t="str">
        <f t="shared" si="8"/>
        <v>0</v>
      </c>
      <c r="AP68" t="str">
        <f t="shared" si="8"/>
        <v>0</v>
      </c>
      <c r="AR68" t="str">
        <f>"0"</f>
        <v>0</v>
      </c>
      <c r="AS68" t="str">
        <f t="shared" si="7"/>
        <v>0</v>
      </c>
      <c r="BB68" t="s">
        <v>110</v>
      </c>
      <c r="BC68">
        <v>0</v>
      </c>
    </row>
    <row r="69" spans="1:85" x14ac:dyDescent="0.3">
      <c r="A69">
        <v>2237011</v>
      </c>
      <c r="B69">
        <v>1541411</v>
      </c>
      <c r="C69" t="str">
        <f>"610101406349"</f>
        <v>610101406349</v>
      </c>
      <c r="D69" t="s">
        <v>594</v>
      </c>
      <c r="E69" t="s">
        <v>595</v>
      </c>
      <c r="F69" t="s">
        <v>596</v>
      </c>
      <c r="G69" s="1">
        <v>22282</v>
      </c>
      <c r="I69" t="s">
        <v>98</v>
      </c>
      <c r="J69" t="s">
        <v>99</v>
      </c>
      <c r="K69" t="s">
        <v>100</v>
      </c>
      <c r="P69" t="s">
        <v>146</v>
      </c>
      <c r="Q69" t="s">
        <v>142</v>
      </c>
      <c r="W69" t="str">
        <f>"2021-09-01T00:00:00"</f>
        <v>2021-09-01T00:00:00</v>
      </c>
      <c r="X69" t="str">
        <f>"113"</f>
        <v>113</v>
      </c>
      <c r="Z69" t="s">
        <v>567</v>
      </c>
      <c r="AA69" t="s">
        <v>135</v>
      </c>
      <c r="AE69" t="s">
        <v>104</v>
      </c>
      <c r="AF69" t="s">
        <v>597</v>
      </c>
      <c r="AG69">
        <v>1</v>
      </c>
      <c r="AH69" t="s">
        <v>106</v>
      </c>
      <c r="AI69" t="s">
        <v>107</v>
      </c>
      <c r="AJ69" t="s">
        <v>403</v>
      </c>
      <c r="AM69" t="s">
        <v>205</v>
      </c>
      <c r="AO69" t="str">
        <f t="shared" si="8"/>
        <v>0</v>
      </c>
      <c r="AP69" t="str">
        <f t="shared" si="8"/>
        <v>0</v>
      </c>
      <c r="AR69" t="str">
        <f>"0"</f>
        <v>0</v>
      </c>
      <c r="AS69" t="str">
        <f t="shared" si="7"/>
        <v>0</v>
      </c>
      <c r="BB69" t="s">
        <v>110</v>
      </c>
      <c r="BC69">
        <v>0</v>
      </c>
    </row>
    <row r="70" spans="1:85" x14ac:dyDescent="0.3">
      <c r="A70">
        <v>2391300</v>
      </c>
      <c r="B70">
        <v>128405</v>
      </c>
      <c r="C70" t="str">
        <f>"850101407950"</f>
        <v>850101407950</v>
      </c>
      <c r="D70" t="s">
        <v>598</v>
      </c>
      <c r="E70" t="s">
        <v>599</v>
      </c>
      <c r="F70" t="s">
        <v>600</v>
      </c>
      <c r="G70" s="1">
        <v>31048</v>
      </c>
      <c r="I70" t="s">
        <v>98</v>
      </c>
      <c r="J70" t="s">
        <v>99</v>
      </c>
      <c r="K70" t="s">
        <v>100</v>
      </c>
      <c r="P70" t="s">
        <v>101</v>
      </c>
      <c r="Q70" t="s">
        <v>142</v>
      </c>
      <c r="W70" t="str">
        <f>"2022-01-10T00:00:00"</f>
        <v>2022-01-10T00:00:00</v>
      </c>
      <c r="X70" t="str">
        <f>"04"</f>
        <v>04</v>
      </c>
      <c r="Z70" t="s">
        <v>102</v>
      </c>
      <c r="AA70" t="s">
        <v>135</v>
      </c>
      <c r="AE70" t="s">
        <v>104</v>
      </c>
      <c r="AF70" t="s">
        <v>105</v>
      </c>
      <c r="AG70">
        <v>1.5</v>
      </c>
      <c r="AH70" t="s">
        <v>106</v>
      </c>
      <c r="AI70" t="s">
        <v>107</v>
      </c>
      <c r="AJ70" t="s">
        <v>108</v>
      </c>
      <c r="AM70" t="s">
        <v>109</v>
      </c>
      <c r="AN70" t="s">
        <v>110</v>
      </c>
      <c r="AO70" t="str">
        <f>"6"</f>
        <v>6</v>
      </c>
      <c r="AP70" t="str">
        <f>"6"</f>
        <v>6</v>
      </c>
      <c r="AQ70" t="str">
        <f>"6"</f>
        <v>6</v>
      </c>
      <c r="AR70" t="str">
        <f>"6"</f>
        <v>6</v>
      </c>
      <c r="AS70" t="str">
        <f t="shared" si="7"/>
        <v>0</v>
      </c>
      <c r="AT70" t="str">
        <f>"ibadullaeva5@mail.ru"</f>
        <v>ibadullaeva5@mail.ru</v>
      </c>
      <c r="AU70" t="str">
        <f>"87755996136"</f>
        <v>87755996136</v>
      </c>
      <c r="AV70" t="s">
        <v>390</v>
      </c>
      <c r="AX70" t="s">
        <v>113</v>
      </c>
      <c r="AY70" t="s">
        <v>257</v>
      </c>
      <c r="AZ70" t="s">
        <v>115</v>
      </c>
      <c r="BA70">
        <v>1.5</v>
      </c>
      <c r="BB70" t="s">
        <v>110</v>
      </c>
      <c r="BC70">
        <v>0</v>
      </c>
      <c r="BF70" t="s">
        <v>280</v>
      </c>
      <c r="BJ70" t="s">
        <v>121</v>
      </c>
      <c r="BK70" t="s">
        <v>122</v>
      </c>
      <c r="BM70" t="s">
        <v>385</v>
      </c>
      <c r="BV70" t="s">
        <v>117</v>
      </c>
      <c r="BW70" t="s">
        <v>601</v>
      </c>
      <c r="BX70" s="2">
        <v>44652</v>
      </c>
      <c r="CA70" t="str">
        <f>"0"</f>
        <v>0</v>
      </c>
      <c r="CB70" t="s">
        <v>121</v>
      </c>
      <c r="CD70" t="s">
        <v>142</v>
      </c>
      <c r="CF70" t="s">
        <v>261</v>
      </c>
      <c r="CG70" t="s">
        <v>110</v>
      </c>
    </row>
    <row r="71" spans="1:85" x14ac:dyDescent="0.3">
      <c r="A71">
        <v>2432281</v>
      </c>
      <c r="B71">
        <v>159028</v>
      </c>
      <c r="C71" t="str">
        <f>"690210400545"</f>
        <v>690210400545</v>
      </c>
      <c r="D71" t="s">
        <v>602</v>
      </c>
      <c r="E71" t="s">
        <v>603</v>
      </c>
      <c r="F71" t="s">
        <v>604</v>
      </c>
      <c r="G71" s="1">
        <v>25244</v>
      </c>
      <c r="I71" t="s">
        <v>98</v>
      </c>
      <c r="J71" t="s">
        <v>99</v>
      </c>
      <c r="K71" t="s">
        <v>100</v>
      </c>
      <c r="P71" t="s">
        <v>146</v>
      </c>
      <c r="Q71" t="s">
        <v>142</v>
      </c>
      <c r="W71" t="str">
        <f>"2022-03-16T00:00:00"</f>
        <v>2022-03-16T00:00:00</v>
      </c>
      <c r="X71" t="str">
        <f>"11"</f>
        <v>11</v>
      </c>
      <c r="Z71" t="s">
        <v>515</v>
      </c>
      <c r="AA71" t="s">
        <v>135</v>
      </c>
      <c r="AE71" t="s">
        <v>104</v>
      </c>
      <c r="AF71" t="s">
        <v>105</v>
      </c>
      <c r="AG71">
        <v>0.7</v>
      </c>
      <c r="AH71" t="s">
        <v>499</v>
      </c>
      <c r="AI71" t="s">
        <v>529</v>
      </c>
      <c r="AJ71" t="s">
        <v>530</v>
      </c>
      <c r="AM71" t="s">
        <v>109</v>
      </c>
      <c r="AN71" t="s">
        <v>110</v>
      </c>
      <c r="AO71" t="str">
        <f>"31"</f>
        <v>31</v>
      </c>
      <c r="AP71" t="str">
        <f>"32"</f>
        <v>32</v>
      </c>
      <c r="AQ71" t="str">
        <f>"31"</f>
        <v>31</v>
      </c>
      <c r="AR71" t="str">
        <f>"31"</f>
        <v>31</v>
      </c>
      <c r="AS71" t="str">
        <f t="shared" si="7"/>
        <v>0</v>
      </c>
      <c r="AT71" t="str">
        <f>"zhanbekova1969@mail.ru"</f>
        <v>zhanbekova1969@mail.ru</v>
      </c>
      <c r="AU71" t="str">
        <f>"87075220140"</f>
        <v>87075220140</v>
      </c>
      <c r="AV71" t="s">
        <v>111</v>
      </c>
      <c r="AW71" t="s">
        <v>360</v>
      </c>
      <c r="AX71" t="s">
        <v>113</v>
      </c>
      <c r="AY71" t="s">
        <v>369</v>
      </c>
      <c r="AZ71" t="s">
        <v>115</v>
      </c>
      <c r="BA71">
        <v>0.7</v>
      </c>
      <c r="BB71" t="s">
        <v>110</v>
      </c>
      <c r="BC71">
        <v>0</v>
      </c>
      <c r="BF71" t="s">
        <v>280</v>
      </c>
      <c r="BJ71" t="s">
        <v>121</v>
      </c>
      <c r="BK71" t="s">
        <v>122</v>
      </c>
      <c r="BM71" t="s">
        <v>297</v>
      </c>
      <c r="BN71" t="s">
        <v>305</v>
      </c>
      <c r="BO71" t="s">
        <v>124</v>
      </c>
      <c r="BP71" t="s">
        <v>125</v>
      </c>
      <c r="BQ71" t="s">
        <v>249</v>
      </c>
      <c r="BR71">
        <v>80</v>
      </c>
      <c r="BS71" t="s">
        <v>605</v>
      </c>
      <c r="BT71" t="s">
        <v>606</v>
      </c>
      <c r="BU71" t="s">
        <v>607</v>
      </c>
      <c r="BV71" t="s">
        <v>117</v>
      </c>
      <c r="BW71" t="s">
        <v>608</v>
      </c>
      <c r="BX71" t="s">
        <v>162</v>
      </c>
      <c r="CA71" t="str">
        <f>"1"</f>
        <v>1</v>
      </c>
      <c r="CD71" t="s">
        <v>142</v>
      </c>
      <c r="CF71" t="s">
        <v>609</v>
      </c>
      <c r="CG71" t="s">
        <v>110</v>
      </c>
    </row>
    <row r="72" spans="1:85" x14ac:dyDescent="0.3">
      <c r="A72">
        <v>2452075</v>
      </c>
      <c r="B72">
        <v>1635346</v>
      </c>
      <c r="C72" t="str">
        <f>"580920350601"</f>
        <v>580920350601</v>
      </c>
      <c r="D72" t="s">
        <v>610</v>
      </c>
      <c r="E72" t="s">
        <v>611</v>
      </c>
      <c r="F72" t="s">
        <v>612</v>
      </c>
      <c r="G72" s="1">
        <v>21448</v>
      </c>
      <c r="I72" t="s">
        <v>200</v>
      </c>
      <c r="J72" t="s">
        <v>99</v>
      </c>
      <c r="K72" t="s">
        <v>244</v>
      </c>
      <c r="P72" t="s">
        <v>146</v>
      </c>
      <c r="Q72" t="s">
        <v>142</v>
      </c>
      <c r="W72" t="str">
        <f>"2022-04-01T00:00:00"</f>
        <v>2022-04-01T00:00:00</v>
      </c>
      <c r="X72" t="str">
        <f>"13"</f>
        <v>13</v>
      </c>
      <c r="Z72" t="s">
        <v>102</v>
      </c>
      <c r="AA72" t="s">
        <v>135</v>
      </c>
      <c r="AE72" t="s">
        <v>104</v>
      </c>
      <c r="AF72" t="s">
        <v>160</v>
      </c>
      <c r="AG72">
        <v>1</v>
      </c>
      <c r="AH72" t="s">
        <v>106</v>
      </c>
      <c r="AI72" t="s">
        <v>107</v>
      </c>
      <c r="AJ72" t="s">
        <v>407</v>
      </c>
      <c r="AM72" t="s">
        <v>205</v>
      </c>
      <c r="AO72" t="str">
        <f>"34"</f>
        <v>34</v>
      </c>
      <c r="AP72" t="str">
        <f>"34"</f>
        <v>34</v>
      </c>
      <c r="AR72" t="str">
        <f>"0"</f>
        <v>0</v>
      </c>
      <c r="AS72" t="str">
        <f t="shared" si="7"/>
        <v>0</v>
      </c>
      <c r="BB72" t="s">
        <v>110</v>
      </c>
      <c r="BC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Персонал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7</dc:creator>
  <cp:lastModifiedBy>каб 7</cp:lastModifiedBy>
  <dcterms:created xsi:type="dcterms:W3CDTF">2022-06-29T08:58:36Z</dcterms:created>
  <dcterms:modified xsi:type="dcterms:W3CDTF">2022-06-29T08:58:36Z</dcterms:modified>
</cp:coreProperties>
</file>