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19140" windowHeight="10344"/>
  </bookViews>
  <sheets>
    <sheet name="Контингент (1)" sheetId="1" r:id="rId1"/>
  </sheets>
  <calcPr calcId="0"/>
</workbook>
</file>

<file path=xl/calcChain.xml><?xml version="1.0" encoding="utf-8"?>
<calcChain xmlns="http://schemas.openxmlformats.org/spreadsheetml/2006/main">
  <c r="C2" i="1" l="1"/>
  <c r="Y2" i="1"/>
  <c r="Z2" i="1"/>
  <c r="AB2" i="1"/>
  <c r="C3" i="1"/>
  <c r="Y3" i="1"/>
  <c r="Z3" i="1"/>
  <c r="C4" i="1"/>
  <c r="Y4" i="1"/>
  <c r="Z4" i="1"/>
  <c r="C5" i="1"/>
  <c r="Y5" i="1"/>
  <c r="Z5" i="1"/>
  <c r="AQ5" i="1"/>
  <c r="C6" i="1"/>
  <c r="Y6" i="1"/>
  <c r="Z6" i="1"/>
  <c r="C7" i="1"/>
  <c r="Y7" i="1"/>
  <c r="Z7" i="1"/>
  <c r="C8" i="1"/>
  <c r="Y8" i="1"/>
  <c r="Z8" i="1"/>
  <c r="C9" i="1"/>
  <c r="Y9" i="1"/>
  <c r="Z9" i="1"/>
  <c r="C10" i="1"/>
  <c r="Y10" i="1"/>
  <c r="Z10" i="1"/>
  <c r="C11" i="1"/>
  <c r="Y11" i="1"/>
  <c r="Z11" i="1"/>
  <c r="C12" i="1"/>
  <c r="Y12" i="1"/>
  <c r="Z12" i="1"/>
  <c r="AB12" i="1"/>
  <c r="C13" i="1"/>
  <c r="Y13" i="1"/>
  <c r="Z13" i="1"/>
  <c r="C14" i="1"/>
  <c r="Y14" i="1"/>
  <c r="Z14" i="1"/>
  <c r="C15" i="1"/>
  <c r="Y15" i="1"/>
  <c r="Z15" i="1"/>
  <c r="AQ15" i="1"/>
  <c r="C16" i="1"/>
  <c r="Y16" i="1"/>
  <c r="Z16" i="1"/>
  <c r="AB16" i="1"/>
  <c r="C17" i="1"/>
  <c r="Y17" i="1"/>
  <c r="Z17" i="1"/>
  <c r="AB17" i="1"/>
  <c r="C18" i="1"/>
  <c r="Y18" i="1"/>
  <c r="Z18" i="1"/>
  <c r="AB18" i="1"/>
  <c r="AQ18" i="1"/>
  <c r="C19" i="1"/>
  <c r="Y19" i="1"/>
  <c r="Z19" i="1"/>
  <c r="AB19" i="1"/>
  <c r="C20" i="1"/>
  <c r="Y20" i="1"/>
  <c r="Z20" i="1"/>
  <c r="AB20" i="1"/>
  <c r="C21" i="1"/>
  <c r="Y21" i="1"/>
  <c r="Z21" i="1"/>
  <c r="AB21" i="1"/>
  <c r="AQ21" i="1"/>
  <c r="C22" i="1"/>
  <c r="Y22" i="1"/>
  <c r="Z22" i="1"/>
  <c r="AB22" i="1"/>
  <c r="C23" i="1"/>
  <c r="Y23" i="1"/>
  <c r="Z23" i="1"/>
  <c r="AB23" i="1"/>
  <c r="C24" i="1"/>
  <c r="Y24" i="1"/>
  <c r="Z24" i="1"/>
  <c r="AB24" i="1"/>
  <c r="AQ24" i="1"/>
  <c r="C25" i="1"/>
  <c r="Y25" i="1"/>
  <c r="Z25" i="1"/>
  <c r="AB25" i="1"/>
  <c r="C26" i="1"/>
  <c r="Y26" i="1"/>
  <c r="Z26" i="1"/>
  <c r="AB26" i="1"/>
  <c r="C27" i="1"/>
  <c r="Y27" i="1"/>
  <c r="Z27" i="1"/>
  <c r="AB27" i="1"/>
  <c r="C28" i="1"/>
  <c r="Y28" i="1"/>
  <c r="Z28" i="1"/>
  <c r="AB28" i="1"/>
  <c r="C29" i="1"/>
  <c r="Y29" i="1"/>
  <c r="Z29" i="1"/>
  <c r="C30" i="1"/>
  <c r="Y30" i="1"/>
  <c r="Z30" i="1"/>
  <c r="AB30" i="1"/>
  <c r="C31" i="1"/>
  <c r="Y31" i="1"/>
  <c r="Z31" i="1"/>
  <c r="AB31" i="1"/>
  <c r="C32" i="1"/>
  <c r="Y32" i="1"/>
  <c r="Z32" i="1"/>
  <c r="AB32" i="1"/>
  <c r="C33" i="1"/>
  <c r="Y33" i="1"/>
  <c r="Z33" i="1"/>
  <c r="AB33" i="1"/>
  <c r="C34" i="1"/>
  <c r="Y34" i="1"/>
  <c r="Z34" i="1"/>
  <c r="AB34" i="1"/>
  <c r="C35" i="1"/>
  <c r="Y35" i="1"/>
  <c r="Z35" i="1"/>
  <c r="AB35" i="1"/>
  <c r="C36" i="1"/>
  <c r="Y36" i="1"/>
  <c r="Z36" i="1"/>
  <c r="AB36" i="1"/>
  <c r="AQ36" i="1"/>
  <c r="C37" i="1"/>
  <c r="Y37" i="1"/>
  <c r="Z37" i="1"/>
  <c r="AB37" i="1"/>
  <c r="C38" i="1"/>
  <c r="Y38" i="1"/>
  <c r="Z38" i="1"/>
  <c r="AB38" i="1"/>
  <c r="C39" i="1"/>
  <c r="Y39" i="1"/>
  <c r="Z39" i="1"/>
  <c r="AB39" i="1"/>
  <c r="AQ39" i="1"/>
  <c r="C40" i="1"/>
  <c r="Y40" i="1"/>
  <c r="Z40" i="1"/>
  <c r="AB40" i="1"/>
  <c r="C41" i="1"/>
  <c r="Y41" i="1"/>
  <c r="Z41" i="1"/>
  <c r="C42" i="1"/>
  <c r="Y42" i="1"/>
  <c r="Z42" i="1"/>
  <c r="C43" i="1"/>
  <c r="Y43" i="1"/>
  <c r="Z43" i="1"/>
  <c r="AQ43" i="1"/>
  <c r="C44" i="1"/>
  <c r="Y44" i="1"/>
  <c r="Z44" i="1"/>
  <c r="C45" i="1"/>
  <c r="Y45" i="1"/>
  <c r="Z45" i="1"/>
  <c r="C46" i="1"/>
  <c r="Y46" i="1"/>
  <c r="Z46" i="1"/>
  <c r="C47" i="1"/>
  <c r="Y47" i="1"/>
  <c r="Z47" i="1"/>
  <c r="C48" i="1"/>
  <c r="Y48" i="1"/>
  <c r="Z48" i="1"/>
  <c r="C49" i="1"/>
  <c r="Y49" i="1"/>
  <c r="Z49" i="1"/>
  <c r="C50" i="1"/>
  <c r="Y50" i="1"/>
  <c r="Z50" i="1"/>
  <c r="C51" i="1"/>
  <c r="Y51" i="1"/>
  <c r="Z51" i="1"/>
  <c r="C52" i="1"/>
  <c r="Y52" i="1"/>
  <c r="Z52" i="1"/>
  <c r="C53" i="1"/>
  <c r="Y53" i="1"/>
  <c r="Z53" i="1"/>
  <c r="C54" i="1"/>
  <c r="Y54" i="1"/>
  <c r="Z54" i="1"/>
  <c r="C55" i="1"/>
  <c r="Y55" i="1"/>
  <c r="Z55" i="1"/>
  <c r="C56" i="1"/>
  <c r="Y56" i="1"/>
  <c r="Z56" i="1"/>
  <c r="C57" i="1"/>
  <c r="Y57" i="1"/>
  <c r="Z57" i="1"/>
  <c r="C58" i="1"/>
  <c r="Y58" i="1"/>
  <c r="Z58" i="1"/>
  <c r="C59" i="1"/>
  <c r="Y59" i="1"/>
  <c r="Z59" i="1"/>
  <c r="C60" i="1"/>
  <c r="Y60" i="1"/>
  <c r="Z60" i="1"/>
  <c r="C61" i="1"/>
  <c r="Y61" i="1"/>
  <c r="Z61" i="1"/>
  <c r="C62" i="1"/>
  <c r="Y62" i="1"/>
  <c r="Z62" i="1"/>
  <c r="C63" i="1"/>
  <c r="Y63" i="1"/>
  <c r="Z63" i="1"/>
  <c r="C64" i="1"/>
  <c r="Y64" i="1"/>
  <c r="Z64" i="1"/>
  <c r="C65" i="1"/>
  <c r="Y65" i="1"/>
  <c r="Z65" i="1"/>
  <c r="C66" i="1"/>
  <c r="Y66" i="1"/>
  <c r="Z66" i="1"/>
  <c r="C67" i="1"/>
  <c r="Y67" i="1"/>
  <c r="Z67" i="1"/>
  <c r="C68" i="1"/>
  <c r="Y68" i="1"/>
  <c r="Z68" i="1"/>
  <c r="C69" i="1"/>
  <c r="Y69" i="1"/>
  <c r="Z69" i="1"/>
  <c r="C70" i="1"/>
  <c r="Y70" i="1"/>
  <c r="Z70" i="1"/>
  <c r="AQ70" i="1"/>
  <c r="C71" i="1"/>
  <c r="Y71" i="1"/>
  <c r="Z71" i="1"/>
  <c r="AQ71" i="1"/>
  <c r="C72" i="1"/>
  <c r="Y72" i="1"/>
  <c r="Z72" i="1"/>
  <c r="C73" i="1"/>
  <c r="Y73" i="1"/>
  <c r="Z73" i="1"/>
  <c r="C74" i="1"/>
  <c r="Y74" i="1"/>
  <c r="Z74" i="1"/>
  <c r="C75" i="1"/>
  <c r="Y75" i="1"/>
  <c r="Z75" i="1"/>
  <c r="C76" i="1"/>
  <c r="Y76" i="1"/>
  <c r="Z76" i="1"/>
  <c r="C77" i="1"/>
  <c r="Y77" i="1"/>
  <c r="Z77" i="1"/>
  <c r="C78" i="1"/>
  <c r="Y78" i="1"/>
  <c r="Z78" i="1"/>
  <c r="AB78" i="1"/>
  <c r="AQ78" i="1"/>
  <c r="C79" i="1"/>
  <c r="Y79" i="1"/>
  <c r="Z79" i="1"/>
  <c r="C80" i="1"/>
  <c r="Y80" i="1"/>
  <c r="Z80" i="1"/>
  <c r="AB80" i="1"/>
  <c r="C81" i="1"/>
  <c r="Y81" i="1"/>
  <c r="Z81" i="1"/>
  <c r="C82" i="1"/>
  <c r="Y82" i="1"/>
  <c r="Z82" i="1"/>
  <c r="C83" i="1"/>
  <c r="Y83" i="1"/>
  <c r="Z83" i="1"/>
  <c r="C84" i="1"/>
  <c r="Y84" i="1"/>
  <c r="Z84" i="1"/>
  <c r="AQ84" i="1"/>
  <c r="C85" i="1"/>
  <c r="Y85" i="1"/>
  <c r="Z85" i="1"/>
  <c r="C86" i="1"/>
  <c r="Y86" i="1"/>
  <c r="Z86" i="1"/>
  <c r="C87" i="1"/>
  <c r="Y87" i="1"/>
  <c r="Z87" i="1"/>
  <c r="AQ87" i="1"/>
  <c r="C88" i="1"/>
  <c r="Y88" i="1"/>
  <c r="Z88" i="1"/>
  <c r="C89" i="1"/>
  <c r="Y89" i="1"/>
  <c r="Z89" i="1"/>
  <c r="AB89" i="1"/>
  <c r="C90" i="1"/>
  <c r="Y90" i="1"/>
  <c r="Z90" i="1"/>
  <c r="C91" i="1"/>
  <c r="Y91" i="1"/>
  <c r="Z91" i="1"/>
  <c r="C92" i="1"/>
  <c r="Y92" i="1"/>
  <c r="Z92" i="1"/>
  <c r="C93" i="1"/>
  <c r="Y93" i="1"/>
  <c r="Z93" i="1"/>
  <c r="AB93" i="1"/>
  <c r="C94" i="1"/>
  <c r="Y94" i="1"/>
  <c r="Z94" i="1"/>
  <c r="C95" i="1"/>
  <c r="Y95" i="1"/>
  <c r="Z95" i="1"/>
  <c r="AB95" i="1"/>
  <c r="C96" i="1"/>
  <c r="Y96" i="1"/>
  <c r="Z96" i="1"/>
  <c r="C97" i="1"/>
  <c r="Y97" i="1"/>
  <c r="Z97" i="1"/>
  <c r="AB97" i="1"/>
  <c r="C98" i="1"/>
  <c r="Y98" i="1"/>
  <c r="Z98" i="1"/>
  <c r="AQ98" i="1"/>
  <c r="C99" i="1"/>
  <c r="Y99" i="1"/>
  <c r="Z99" i="1"/>
  <c r="AB99" i="1"/>
  <c r="CT99" i="1"/>
  <c r="CU99" i="1"/>
  <c r="C100" i="1"/>
  <c r="Y100" i="1"/>
  <c r="Z100" i="1"/>
  <c r="C101" i="1"/>
  <c r="Y101" i="1"/>
  <c r="Z101" i="1"/>
  <c r="C102" i="1"/>
  <c r="Y102" i="1"/>
  <c r="Z102" i="1"/>
  <c r="C103" i="1"/>
  <c r="Y103" i="1"/>
  <c r="Z103" i="1"/>
  <c r="C104" i="1"/>
  <c r="Y104" i="1"/>
  <c r="Z104" i="1"/>
  <c r="C105" i="1"/>
  <c r="Y105" i="1"/>
  <c r="Z105" i="1"/>
  <c r="C106" i="1"/>
  <c r="Y106" i="1"/>
  <c r="Z106" i="1"/>
  <c r="CT106" i="1"/>
  <c r="CU106" i="1"/>
  <c r="C107" i="1"/>
  <c r="Y107" i="1"/>
  <c r="Z107" i="1"/>
  <c r="C108" i="1"/>
  <c r="Y108" i="1"/>
  <c r="Z108" i="1"/>
  <c r="C109" i="1"/>
  <c r="Y109" i="1"/>
  <c r="Z109" i="1"/>
  <c r="C110" i="1"/>
  <c r="Y110" i="1"/>
  <c r="Z110" i="1"/>
  <c r="C111" i="1"/>
  <c r="Y111" i="1"/>
  <c r="Z111" i="1"/>
  <c r="C112" i="1"/>
  <c r="Y112" i="1"/>
  <c r="Z112" i="1"/>
  <c r="C113" i="1"/>
  <c r="Y113" i="1"/>
  <c r="Z113" i="1"/>
  <c r="C114" i="1"/>
  <c r="Y114" i="1"/>
  <c r="Z114" i="1"/>
  <c r="C115" i="1"/>
  <c r="Y115" i="1"/>
  <c r="Z115" i="1"/>
  <c r="C116" i="1"/>
  <c r="Y116" i="1"/>
  <c r="Z116" i="1"/>
  <c r="C117" i="1"/>
  <c r="Y117" i="1"/>
  <c r="Z117" i="1"/>
  <c r="C118" i="1"/>
  <c r="Y118" i="1"/>
  <c r="Z118" i="1"/>
  <c r="C119" i="1"/>
  <c r="Y119" i="1"/>
  <c r="Z119" i="1"/>
  <c r="C120" i="1"/>
  <c r="Y120" i="1"/>
  <c r="Z120" i="1"/>
  <c r="C121" i="1"/>
  <c r="Y121" i="1"/>
  <c r="Z121" i="1"/>
  <c r="C122" i="1"/>
  <c r="Y122" i="1"/>
  <c r="Z122" i="1"/>
  <c r="AB122" i="1"/>
  <c r="C123" i="1"/>
  <c r="Y123" i="1"/>
  <c r="Z123" i="1"/>
  <c r="AB123" i="1"/>
  <c r="C124" i="1"/>
  <c r="Y124" i="1"/>
  <c r="Z124" i="1"/>
  <c r="AB124" i="1"/>
  <c r="C125" i="1"/>
  <c r="Y125" i="1"/>
  <c r="Z125" i="1"/>
  <c r="AQ125" i="1"/>
  <c r="C126" i="1"/>
  <c r="Y126" i="1"/>
  <c r="Z126" i="1"/>
  <c r="C127" i="1"/>
  <c r="Y127" i="1"/>
  <c r="Z127" i="1"/>
  <c r="C128" i="1"/>
  <c r="Y128" i="1"/>
  <c r="Z128" i="1"/>
  <c r="C129" i="1"/>
  <c r="Y129" i="1"/>
  <c r="Z129" i="1"/>
  <c r="C130" i="1"/>
  <c r="Y130" i="1"/>
  <c r="Z130" i="1"/>
  <c r="C131" i="1"/>
  <c r="Y131" i="1"/>
  <c r="Z131" i="1"/>
  <c r="C132" i="1"/>
  <c r="Y132" i="1"/>
  <c r="Z132" i="1"/>
  <c r="C133" i="1"/>
  <c r="Y133" i="1"/>
  <c r="Z133" i="1"/>
  <c r="C134" i="1"/>
  <c r="Y134" i="1"/>
  <c r="Z134" i="1"/>
  <c r="C135" i="1"/>
  <c r="Y135" i="1"/>
  <c r="Z135" i="1"/>
  <c r="C136" i="1"/>
  <c r="Y136" i="1"/>
  <c r="Z136" i="1"/>
  <c r="C137" i="1"/>
  <c r="Y137" i="1"/>
  <c r="Z137" i="1"/>
  <c r="C138" i="1"/>
  <c r="Y138" i="1"/>
  <c r="Z138" i="1"/>
  <c r="C139" i="1"/>
  <c r="Y139" i="1"/>
  <c r="Z139" i="1"/>
  <c r="C140" i="1"/>
  <c r="Y140" i="1"/>
  <c r="Z140" i="1"/>
  <c r="C141" i="1"/>
  <c r="Y141" i="1"/>
  <c r="Z141" i="1"/>
  <c r="C142" i="1"/>
  <c r="Y142" i="1"/>
  <c r="Z142" i="1"/>
  <c r="C143" i="1"/>
  <c r="Y143" i="1"/>
  <c r="Z143" i="1"/>
  <c r="C144" i="1"/>
  <c r="Y144" i="1"/>
  <c r="Z144" i="1"/>
  <c r="C145" i="1"/>
  <c r="Y145" i="1"/>
  <c r="Z145" i="1"/>
  <c r="C146" i="1"/>
  <c r="Y146" i="1"/>
  <c r="Z146" i="1"/>
  <c r="C147" i="1"/>
  <c r="Y147" i="1"/>
  <c r="Z147" i="1"/>
  <c r="C148" i="1"/>
  <c r="Y148" i="1"/>
  <c r="Z148" i="1"/>
  <c r="C149" i="1"/>
  <c r="Y149" i="1"/>
  <c r="Z149" i="1"/>
  <c r="C150" i="1"/>
  <c r="Y150" i="1"/>
  <c r="Z150" i="1"/>
  <c r="C151" i="1"/>
  <c r="Y151" i="1"/>
  <c r="Z151" i="1"/>
  <c r="C152" i="1"/>
  <c r="Y152" i="1"/>
  <c r="Z152" i="1"/>
  <c r="C153" i="1"/>
  <c r="Y153" i="1"/>
  <c r="Z153" i="1"/>
  <c r="C154" i="1"/>
  <c r="Y154" i="1"/>
  <c r="Z154" i="1"/>
  <c r="C155" i="1"/>
  <c r="Y155" i="1"/>
  <c r="Z155" i="1"/>
  <c r="C156" i="1"/>
  <c r="Y156" i="1"/>
  <c r="Z156" i="1"/>
  <c r="C157" i="1"/>
  <c r="Y157" i="1"/>
  <c r="Z157" i="1"/>
  <c r="C158" i="1"/>
  <c r="Y158" i="1"/>
  <c r="Z158" i="1"/>
  <c r="C159" i="1"/>
  <c r="Y159" i="1"/>
  <c r="Z159" i="1"/>
  <c r="C160" i="1"/>
  <c r="Y160" i="1"/>
  <c r="Z160" i="1"/>
  <c r="C161" i="1"/>
  <c r="Y161" i="1"/>
  <c r="Z161" i="1"/>
  <c r="C162" i="1"/>
  <c r="Y162" i="1"/>
  <c r="Z162" i="1"/>
  <c r="C163" i="1"/>
  <c r="Y163" i="1"/>
  <c r="Z163" i="1"/>
  <c r="C164" i="1"/>
  <c r="Y164" i="1"/>
  <c r="Z164" i="1"/>
  <c r="C165" i="1"/>
  <c r="Y165" i="1"/>
  <c r="Z165" i="1"/>
  <c r="C166" i="1"/>
  <c r="Y166" i="1"/>
  <c r="Z166" i="1"/>
  <c r="C167" i="1"/>
  <c r="Y167" i="1"/>
  <c r="Z167" i="1"/>
  <c r="AQ167" i="1"/>
  <c r="C168" i="1"/>
  <c r="Y168" i="1"/>
  <c r="Z168" i="1"/>
  <c r="C169" i="1"/>
  <c r="Y169" i="1"/>
  <c r="Z169" i="1"/>
  <c r="C170" i="1"/>
  <c r="Y170" i="1"/>
  <c r="Z170" i="1"/>
  <c r="C171" i="1"/>
  <c r="Y171" i="1"/>
  <c r="Z171" i="1"/>
  <c r="C172" i="1"/>
  <c r="Y172" i="1"/>
  <c r="Z172" i="1"/>
  <c r="C173" i="1"/>
  <c r="Y173" i="1"/>
  <c r="Z173" i="1"/>
  <c r="C174" i="1"/>
  <c r="Y174" i="1"/>
  <c r="Z174" i="1"/>
  <c r="C175" i="1"/>
  <c r="Y175" i="1"/>
  <c r="Z175" i="1"/>
  <c r="C176" i="1"/>
  <c r="Y176" i="1"/>
  <c r="Z176" i="1"/>
  <c r="AB176" i="1"/>
  <c r="C177" i="1"/>
  <c r="Y177" i="1"/>
  <c r="Z177" i="1"/>
  <c r="C178" i="1"/>
  <c r="Y178" i="1"/>
  <c r="Z178" i="1"/>
  <c r="C179" i="1"/>
  <c r="Y179" i="1"/>
  <c r="Z179" i="1"/>
  <c r="AQ179" i="1"/>
  <c r="C180" i="1"/>
  <c r="Y180" i="1"/>
  <c r="Z180" i="1"/>
  <c r="C181" i="1"/>
  <c r="Y181" i="1"/>
  <c r="Z181" i="1"/>
  <c r="C182" i="1"/>
  <c r="Y182" i="1"/>
  <c r="Z182" i="1"/>
  <c r="AB182" i="1"/>
  <c r="C183" i="1"/>
  <c r="Y183" i="1"/>
  <c r="Z183" i="1"/>
  <c r="AB183" i="1"/>
  <c r="C184" i="1"/>
  <c r="Y184" i="1"/>
  <c r="Z184" i="1"/>
  <c r="C185" i="1"/>
  <c r="Y185" i="1"/>
  <c r="Z185" i="1"/>
  <c r="C186" i="1"/>
  <c r="Y186" i="1"/>
  <c r="Z186" i="1"/>
  <c r="C187" i="1"/>
  <c r="Y187" i="1"/>
  <c r="Z187" i="1"/>
  <c r="AB187" i="1"/>
  <c r="C188" i="1"/>
  <c r="Y188" i="1"/>
  <c r="Z188" i="1"/>
  <c r="C189" i="1"/>
  <c r="Y189" i="1"/>
  <c r="Z189" i="1"/>
  <c r="C190" i="1"/>
  <c r="Y190" i="1"/>
  <c r="Z190" i="1"/>
  <c r="C191" i="1"/>
  <c r="Y191" i="1"/>
  <c r="Z191" i="1"/>
  <c r="C192" i="1"/>
  <c r="Y192" i="1"/>
  <c r="Z192" i="1"/>
  <c r="C193" i="1"/>
  <c r="Y193" i="1"/>
  <c r="Z193" i="1"/>
  <c r="C194" i="1"/>
  <c r="Y194" i="1"/>
  <c r="Z194" i="1"/>
  <c r="C195" i="1"/>
  <c r="Y195" i="1"/>
  <c r="Z195" i="1"/>
  <c r="C196" i="1"/>
  <c r="Y196" i="1"/>
  <c r="Z196" i="1"/>
  <c r="C197" i="1"/>
  <c r="Y197" i="1"/>
  <c r="Z197" i="1"/>
  <c r="C198" i="1"/>
  <c r="Y198" i="1"/>
  <c r="Z198" i="1"/>
  <c r="C199" i="1"/>
  <c r="Y199" i="1"/>
  <c r="Z199" i="1"/>
  <c r="AB199" i="1"/>
  <c r="C200" i="1"/>
  <c r="Y200" i="1"/>
  <c r="Z200" i="1"/>
  <c r="C201" i="1"/>
  <c r="Y201" i="1"/>
  <c r="Z201" i="1"/>
  <c r="C202" i="1"/>
  <c r="Y202" i="1"/>
  <c r="Z202" i="1"/>
  <c r="C203" i="1"/>
  <c r="Y203" i="1"/>
  <c r="Z203" i="1"/>
  <c r="C204" i="1"/>
  <c r="Y204" i="1"/>
  <c r="Z204" i="1"/>
  <c r="C205" i="1"/>
  <c r="Y205" i="1"/>
  <c r="Z205" i="1"/>
  <c r="C206" i="1"/>
  <c r="Y206" i="1"/>
  <c r="Z206" i="1"/>
  <c r="AQ206" i="1"/>
  <c r="C207" i="1"/>
  <c r="Y207" i="1"/>
  <c r="Z207" i="1"/>
  <c r="C208" i="1"/>
  <c r="Y208" i="1"/>
  <c r="Z208" i="1"/>
  <c r="C209" i="1"/>
  <c r="Y209" i="1"/>
  <c r="Z209" i="1"/>
  <c r="C210" i="1"/>
  <c r="Y210" i="1"/>
  <c r="Z210" i="1"/>
  <c r="C211" i="1"/>
  <c r="Y211" i="1"/>
  <c r="Z211" i="1"/>
  <c r="C212" i="1"/>
  <c r="Y212" i="1"/>
  <c r="Z212" i="1"/>
  <c r="C213" i="1"/>
  <c r="Y213" i="1"/>
  <c r="Z213" i="1"/>
  <c r="C214" i="1"/>
  <c r="Y214" i="1"/>
  <c r="Z214" i="1"/>
  <c r="C215" i="1"/>
  <c r="Y215" i="1"/>
  <c r="Z215" i="1"/>
  <c r="C216" i="1"/>
  <c r="Y216" i="1"/>
  <c r="Z216" i="1"/>
  <c r="C217" i="1"/>
  <c r="Y217" i="1"/>
  <c r="Z217" i="1"/>
  <c r="C218" i="1"/>
  <c r="Y218" i="1"/>
  <c r="Z218" i="1"/>
  <c r="C219" i="1"/>
  <c r="Y219" i="1"/>
  <c r="Z219" i="1"/>
  <c r="C220" i="1"/>
  <c r="Y220" i="1"/>
  <c r="Z220" i="1"/>
  <c r="C221" i="1"/>
  <c r="Y221" i="1"/>
  <c r="Z221" i="1"/>
  <c r="C222" i="1"/>
  <c r="Y222" i="1"/>
  <c r="Z222" i="1"/>
  <c r="C223" i="1"/>
  <c r="Y223" i="1"/>
  <c r="Z223" i="1"/>
  <c r="C224" i="1"/>
  <c r="Y224" i="1"/>
  <c r="Z224" i="1"/>
  <c r="C225" i="1"/>
  <c r="Y225" i="1"/>
  <c r="Z225" i="1"/>
  <c r="AB225" i="1"/>
  <c r="C226" i="1"/>
  <c r="Y226" i="1"/>
  <c r="Z226" i="1"/>
  <c r="C227" i="1"/>
  <c r="Y227" i="1"/>
  <c r="Z227" i="1"/>
  <c r="AQ227" i="1"/>
  <c r="C228" i="1"/>
  <c r="Y228" i="1"/>
  <c r="Z228" i="1"/>
  <c r="C229" i="1"/>
  <c r="Y229" i="1"/>
  <c r="Z229" i="1"/>
  <c r="C230" i="1"/>
  <c r="Y230" i="1"/>
  <c r="Z230" i="1"/>
  <c r="C231" i="1"/>
  <c r="Y231" i="1"/>
  <c r="Z231" i="1"/>
  <c r="AQ231" i="1"/>
  <c r="C232" i="1"/>
  <c r="Y232" i="1"/>
  <c r="Z232" i="1"/>
  <c r="C233" i="1"/>
  <c r="Y233" i="1"/>
  <c r="Z233" i="1"/>
  <c r="C234" i="1"/>
  <c r="Y234" i="1"/>
  <c r="Z234" i="1"/>
  <c r="C235" i="1"/>
  <c r="Y235" i="1"/>
  <c r="Z235" i="1"/>
  <c r="C236" i="1"/>
  <c r="Y236" i="1"/>
  <c r="Z236" i="1"/>
  <c r="C237" i="1"/>
  <c r="Y237" i="1"/>
  <c r="Z237" i="1"/>
  <c r="C238" i="1"/>
  <c r="Y238" i="1"/>
  <c r="Z238" i="1"/>
  <c r="C239" i="1"/>
  <c r="Y239" i="1"/>
  <c r="Z239" i="1"/>
  <c r="C240" i="1"/>
  <c r="Y240" i="1"/>
  <c r="Z240" i="1"/>
  <c r="C241" i="1"/>
  <c r="Y241" i="1"/>
  <c r="Z241" i="1"/>
  <c r="C242" i="1"/>
  <c r="Y242" i="1"/>
  <c r="Z242" i="1"/>
  <c r="C243" i="1"/>
  <c r="Y243" i="1"/>
  <c r="Z243" i="1"/>
  <c r="C244" i="1"/>
  <c r="Y244" i="1"/>
  <c r="Z244" i="1"/>
  <c r="C245" i="1"/>
  <c r="Y245" i="1"/>
  <c r="Z245" i="1"/>
  <c r="C246" i="1"/>
  <c r="Y246" i="1"/>
  <c r="Z246" i="1"/>
  <c r="C247" i="1"/>
  <c r="Y247" i="1"/>
  <c r="Z247" i="1"/>
  <c r="AQ247" i="1"/>
  <c r="C248" i="1"/>
  <c r="Y248" i="1"/>
  <c r="Z248" i="1"/>
  <c r="C249" i="1"/>
  <c r="Y249" i="1"/>
  <c r="Z249" i="1"/>
  <c r="C250" i="1"/>
  <c r="Y250" i="1"/>
  <c r="Z250" i="1"/>
  <c r="AQ250" i="1"/>
  <c r="C251" i="1"/>
  <c r="Y251" i="1"/>
  <c r="Z251" i="1"/>
  <c r="C252" i="1"/>
  <c r="Y252" i="1"/>
  <c r="Z252" i="1"/>
  <c r="C253" i="1"/>
  <c r="Y253" i="1"/>
  <c r="Z253" i="1"/>
  <c r="C254" i="1"/>
  <c r="Y254" i="1"/>
  <c r="Z254" i="1"/>
  <c r="C255" i="1"/>
  <c r="Y255" i="1"/>
  <c r="Z255" i="1"/>
  <c r="AQ255" i="1"/>
  <c r="C256" i="1"/>
  <c r="Y256" i="1"/>
  <c r="Z256" i="1"/>
  <c r="C257" i="1"/>
  <c r="Y257" i="1"/>
  <c r="Z257" i="1"/>
  <c r="C258" i="1"/>
  <c r="Y258" i="1"/>
  <c r="Z258" i="1"/>
  <c r="C259" i="1"/>
  <c r="Y259" i="1"/>
  <c r="Z259" i="1"/>
  <c r="C260" i="1"/>
  <c r="Y260" i="1"/>
  <c r="Z260" i="1"/>
  <c r="C261" i="1"/>
  <c r="Y261" i="1"/>
  <c r="Z261" i="1"/>
  <c r="AQ261" i="1"/>
  <c r="C262" i="1"/>
  <c r="Y262" i="1"/>
  <c r="Z262" i="1"/>
  <c r="C263" i="1"/>
  <c r="Y263" i="1"/>
  <c r="Z263" i="1"/>
  <c r="C264" i="1"/>
  <c r="Y264" i="1"/>
  <c r="Z264" i="1"/>
  <c r="C265" i="1"/>
  <c r="Y265" i="1"/>
  <c r="Z265" i="1"/>
  <c r="C266" i="1"/>
  <c r="Y266" i="1"/>
  <c r="Z266" i="1"/>
  <c r="C267" i="1"/>
  <c r="Y267" i="1"/>
  <c r="Z267" i="1"/>
  <c r="C268" i="1"/>
  <c r="Y268" i="1"/>
  <c r="Z268" i="1"/>
  <c r="C269" i="1"/>
  <c r="Y269" i="1"/>
  <c r="Z269" i="1"/>
  <c r="C270" i="1"/>
  <c r="Y270" i="1"/>
  <c r="Z270" i="1"/>
  <c r="C271" i="1"/>
  <c r="Y271" i="1"/>
  <c r="Z271" i="1"/>
  <c r="C272" i="1"/>
  <c r="Y272" i="1"/>
  <c r="Z272" i="1"/>
  <c r="C273" i="1"/>
  <c r="Y273" i="1"/>
  <c r="Z273" i="1"/>
  <c r="C274" i="1"/>
  <c r="Y274" i="1"/>
  <c r="Z274" i="1"/>
  <c r="C275" i="1"/>
  <c r="Y275" i="1"/>
  <c r="Z275" i="1"/>
  <c r="C276" i="1"/>
  <c r="Y276" i="1"/>
  <c r="Z276" i="1"/>
  <c r="C277" i="1"/>
  <c r="Y277" i="1"/>
  <c r="Z277" i="1"/>
  <c r="AB277" i="1"/>
  <c r="AQ277" i="1"/>
  <c r="C278" i="1"/>
  <c r="Y278" i="1"/>
  <c r="Z278" i="1"/>
  <c r="C279" i="1"/>
  <c r="Y279" i="1"/>
  <c r="Z279" i="1"/>
  <c r="C280" i="1"/>
  <c r="Y280" i="1"/>
  <c r="Z280" i="1"/>
  <c r="C281" i="1"/>
  <c r="Y281" i="1"/>
  <c r="Z281" i="1"/>
  <c r="C282" i="1"/>
  <c r="Y282" i="1"/>
  <c r="Z282" i="1"/>
  <c r="C283" i="1"/>
  <c r="Y283" i="1"/>
  <c r="Z283" i="1"/>
  <c r="C284" i="1"/>
  <c r="Y284" i="1"/>
  <c r="Z284" i="1"/>
  <c r="C285" i="1"/>
  <c r="Y285" i="1"/>
  <c r="Z285" i="1"/>
  <c r="C286" i="1"/>
  <c r="Y286" i="1"/>
  <c r="Z286" i="1"/>
  <c r="C287" i="1"/>
  <c r="Y287" i="1"/>
  <c r="Z287" i="1"/>
  <c r="C288" i="1"/>
  <c r="Y288" i="1"/>
  <c r="Z288" i="1"/>
  <c r="C289" i="1"/>
  <c r="Y289" i="1"/>
  <c r="Z289" i="1"/>
  <c r="C290" i="1"/>
  <c r="Y290" i="1"/>
  <c r="Z290" i="1"/>
  <c r="C291" i="1"/>
  <c r="Y291" i="1"/>
  <c r="Z291" i="1"/>
  <c r="C292" i="1"/>
  <c r="Y292" i="1"/>
  <c r="Z292" i="1"/>
  <c r="C293" i="1"/>
  <c r="Y293" i="1"/>
  <c r="Z293" i="1"/>
  <c r="C294" i="1"/>
  <c r="Y294" i="1"/>
  <c r="Z294" i="1"/>
  <c r="C295" i="1"/>
  <c r="Y295" i="1"/>
  <c r="Z295" i="1"/>
  <c r="C296" i="1"/>
  <c r="Y296" i="1"/>
  <c r="Z296" i="1"/>
  <c r="C297" i="1"/>
  <c r="Y297" i="1"/>
  <c r="Z297" i="1"/>
  <c r="C298" i="1"/>
  <c r="Y298" i="1"/>
  <c r="Z298" i="1"/>
  <c r="C299" i="1"/>
  <c r="Y299" i="1"/>
  <c r="Z299" i="1"/>
  <c r="C300" i="1"/>
  <c r="Y300" i="1"/>
  <c r="Z300" i="1"/>
  <c r="C301" i="1"/>
  <c r="Y301" i="1"/>
  <c r="Z301" i="1"/>
  <c r="AQ301" i="1"/>
  <c r="C302" i="1"/>
  <c r="Y302" i="1"/>
  <c r="Z302" i="1"/>
  <c r="C303" i="1"/>
  <c r="Y303" i="1"/>
  <c r="Z303" i="1"/>
  <c r="C304" i="1"/>
  <c r="Y304" i="1"/>
  <c r="Z304" i="1"/>
  <c r="C305" i="1"/>
  <c r="Y305" i="1"/>
  <c r="Z305" i="1"/>
  <c r="AB305" i="1"/>
  <c r="C306" i="1"/>
  <c r="Y306" i="1"/>
  <c r="Z306" i="1"/>
  <c r="C307" i="1"/>
  <c r="Y307" i="1"/>
  <c r="Z307" i="1"/>
  <c r="C308" i="1"/>
  <c r="Y308" i="1"/>
  <c r="Z308" i="1"/>
  <c r="C309" i="1"/>
  <c r="Y309" i="1"/>
  <c r="Z309" i="1"/>
  <c r="C310" i="1"/>
  <c r="Y310" i="1"/>
  <c r="Z310" i="1"/>
  <c r="C311" i="1"/>
  <c r="Y311" i="1"/>
  <c r="Z311" i="1"/>
  <c r="C312" i="1"/>
  <c r="Y312" i="1"/>
  <c r="Z312" i="1"/>
  <c r="C313" i="1"/>
  <c r="Y313" i="1"/>
  <c r="Z313" i="1"/>
  <c r="C314" i="1"/>
  <c r="Y314" i="1"/>
  <c r="Z314" i="1"/>
  <c r="AB314" i="1"/>
  <c r="C315" i="1"/>
  <c r="Y315" i="1"/>
  <c r="Z315" i="1"/>
  <c r="C316" i="1"/>
  <c r="Y316" i="1"/>
  <c r="Z316" i="1"/>
  <c r="C317" i="1"/>
  <c r="Y317" i="1"/>
  <c r="Z317" i="1"/>
  <c r="C318" i="1"/>
  <c r="Y318" i="1"/>
  <c r="Z318" i="1"/>
  <c r="C319" i="1"/>
  <c r="Y319" i="1"/>
  <c r="Z319" i="1"/>
  <c r="C320" i="1"/>
  <c r="Y320" i="1"/>
  <c r="Z320" i="1"/>
  <c r="C321" i="1"/>
  <c r="Y321" i="1"/>
  <c r="Z321" i="1"/>
  <c r="C322" i="1"/>
  <c r="Y322" i="1"/>
  <c r="Z322" i="1"/>
  <c r="AQ322" i="1"/>
  <c r="C323" i="1"/>
  <c r="Y323" i="1"/>
  <c r="Z323" i="1"/>
  <c r="C324" i="1"/>
  <c r="Y324" i="1"/>
  <c r="Z324" i="1"/>
  <c r="C325" i="1"/>
  <c r="Y325" i="1"/>
  <c r="Z325" i="1"/>
  <c r="C326" i="1"/>
  <c r="Y326" i="1"/>
  <c r="Z326" i="1"/>
  <c r="C327" i="1"/>
  <c r="Y327" i="1"/>
  <c r="Z327" i="1"/>
  <c r="C328" i="1"/>
  <c r="Y328" i="1"/>
  <c r="Z328" i="1"/>
  <c r="C329" i="1"/>
  <c r="Y329" i="1"/>
  <c r="Z329" i="1"/>
  <c r="C330" i="1"/>
  <c r="Y330" i="1"/>
  <c r="Z330" i="1"/>
  <c r="C331" i="1"/>
  <c r="Y331" i="1"/>
  <c r="Z331" i="1"/>
  <c r="C332" i="1"/>
  <c r="Y332" i="1"/>
  <c r="Z332" i="1"/>
  <c r="C333" i="1"/>
  <c r="Y333" i="1"/>
  <c r="Z333" i="1"/>
  <c r="C334" i="1"/>
  <c r="Y334" i="1"/>
  <c r="Z334" i="1"/>
  <c r="C335" i="1"/>
  <c r="Y335" i="1"/>
  <c r="Z335" i="1"/>
  <c r="C336" i="1"/>
  <c r="Y336" i="1"/>
  <c r="Z336" i="1"/>
  <c r="C337" i="1"/>
  <c r="Y337" i="1"/>
  <c r="Z337" i="1"/>
  <c r="C338" i="1"/>
  <c r="Y338" i="1"/>
  <c r="Z338" i="1"/>
  <c r="C339" i="1"/>
  <c r="Y339" i="1"/>
  <c r="Z339" i="1"/>
  <c r="C340" i="1"/>
  <c r="Y340" i="1"/>
  <c r="Z340" i="1"/>
  <c r="C341" i="1"/>
  <c r="Y341" i="1"/>
  <c r="Z341" i="1"/>
  <c r="C342" i="1"/>
  <c r="Y342" i="1"/>
  <c r="Z342" i="1"/>
  <c r="C343" i="1"/>
  <c r="Y343" i="1"/>
  <c r="Z343" i="1"/>
  <c r="C344" i="1"/>
  <c r="Y344" i="1"/>
  <c r="Z344" i="1"/>
  <c r="C345" i="1"/>
  <c r="Y345" i="1"/>
  <c r="Z345" i="1"/>
  <c r="C346" i="1"/>
  <c r="Y346" i="1"/>
  <c r="Z346" i="1"/>
  <c r="C347" i="1"/>
  <c r="Y347" i="1"/>
  <c r="Z347" i="1"/>
  <c r="C348" i="1"/>
  <c r="Y348" i="1"/>
  <c r="Z348" i="1"/>
  <c r="AQ348" i="1"/>
  <c r="C349" i="1"/>
  <c r="Y349" i="1"/>
  <c r="Z349" i="1"/>
  <c r="C350" i="1"/>
  <c r="Y350" i="1"/>
  <c r="Z350" i="1"/>
  <c r="C351" i="1"/>
  <c r="Y351" i="1"/>
  <c r="Z351" i="1"/>
  <c r="C352" i="1"/>
  <c r="Y352" i="1"/>
  <c r="Z352" i="1"/>
  <c r="C353" i="1"/>
  <c r="Y353" i="1"/>
  <c r="Z353" i="1"/>
  <c r="C354" i="1"/>
  <c r="Y354" i="1"/>
  <c r="Z354" i="1"/>
  <c r="C355" i="1"/>
  <c r="Y355" i="1"/>
  <c r="Z355" i="1"/>
  <c r="C356" i="1"/>
  <c r="Y356" i="1"/>
  <c r="Z356" i="1"/>
  <c r="C357" i="1"/>
  <c r="Y357" i="1"/>
  <c r="Z357" i="1"/>
  <c r="C358" i="1"/>
  <c r="Y358" i="1"/>
  <c r="Z358" i="1"/>
  <c r="C359" i="1"/>
  <c r="Y359" i="1"/>
  <c r="Z359" i="1"/>
  <c r="C360" i="1"/>
  <c r="Y360" i="1"/>
  <c r="Z360" i="1"/>
  <c r="C361" i="1"/>
  <c r="Y361" i="1"/>
  <c r="Z361" i="1"/>
  <c r="AB361" i="1"/>
  <c r="C362" i="1"/>
  <c r="Y362" i="1"/>
  <c r="Z362" i="1"/>
  <c r="C363" i="1"/>
  <c r="Y363" i="1"/>
  <c r="Z363" i="1"/>
  <c r="C364" i="1"/>
  <c r="Y364" i="1"/>
  <c r="Z364" i="1"/>
  <c r="C365" i="1"/>
  <c r="Y365" i="1"/>
  <c r="Z365" i="1"/>
  <c r="C366" i="1"/>
  <c r="Y366" i="1"/>
  <c r="Z366" i="1"/>
  <c r="C367" i="1"/>
  <c r="Y367" i="1"/>
  <c r="Z367" i="1"/>
  <c r="AQ367" i="1"/>
  <c r="C368" i="1"/>
  <c r="Y368" i="1"/>
  <c r="Z368" i="1"/>
  <c r="C369" i="1"/>
  <c r="Y369" i="1"/>
  <c r="Z369" i="1"/>
  <c r="C370" i="1"/>
  <c r="Y370" i="1"/>
  <c r="Z370" i="1"/>
  <c r="C371" i="1"/>
  <c r="Y371" i="1"/>
  <c r="Z371" i="1"/>
  <c r="AB371" i="1"/>
  <c r="AQ371" i="1"/>
  <c r="C372" i="1"/>
  <c r="Y372" i="1"/>
  <c r="Z372" i="1"/>
  <c r="C373" i="1"/>
  <c r="Y373" i="1"/>
  <c r="Z373" i="1"/>
  <c r="C374" i="1"/>
  <c r="Y374" i="1"/>
  <c r="Z374" i="1"/>
  <c r="C375" i="1"/>
  <c r="Y375" i="1"/>
  <c r="Z375" i="1"/>
  <c r="C376" i="1"/>
  <c r="Y376" i="1"/>
  <c r="Z376" i="1"/>
  <c r="C377" i="1"/>
  <c r="Y377" i="1"/>
  <c r="Z377" i="1"/>
  <c r="C378" i="1"/>
  <c r="Y378" i="1"/>
  <c r="Z378" i="1"/>
  <c r="C379" i="1"/>
  <c r="Y379" i="1"/>
  <c r="Z379" i="1"/>
  <c r="C380" i="1"/>
  <c r="Y380" i="1"/>
  <c r="Z380" i="1"/>
  <c r="C381" i="1"/>
  <c r="Y381" i="1"/>
  <c r="Z381" i="1"/>
  <c r="C382" i="1"/>
  <c r="Y382" i="1"/>
  <c r="Z382" i="1"/>
  <c r="C383" i="1"/>
  <c r="Y383" i="1"/>
  <c r="Z383" i="1"/>
  <c r="C384" i="1"/>
  <c r="Y384" i="1"/>
  <c r="Z384" i="1"/>
  <c r="C385" i="1"/>
  <c r="Y385" i="1"/>
  <c r="Z385" i="1"/>
  <c r="C386" i="1"/>
  <c r="Y386" i="1"/>
  <c r="Z386" i="1"/>
  <c r="C387" i="1"/>
  <c r="Y387" i="1"/>
  <c r="Z387" i="1"/>
  <c r="C388" i="1"/>
  <c r="Y388" i="1"/>
  <c r="Z388" i="1"/>
  <c r="C389" i="1"/>
  <c r="Y389" i="1"/>
  <c r="Z389" i="1"/>
  <c r="C390" i="1"/>
  <c r="Y390" i="1"/>
  <c r="Z390" i="1"/>
  <c r="C391" i="1"/>
  <c r="Y391" i="1"/>
  <c r="Z391" i="1"/>
  <c r="C392" i="1"/>
  <c r="Y392" i="1"/>
  <c r="Z392" i="1"/>
  <c r="C393" i="1"/>
  <c r="Y393" i="1"/>
  <c r="Z393" i="1"/>
  <c r="C394" i="1"/>
  <c r="Y394" i="1"/>
  <c r="Z394" i="1"/>
  <c r="C395" i="1"/>
  <c r="Y395" i="1"/>
  <c r="Z395" i="1"/>
  <c r="C396" i="1"/>
  <c r="Y396" i="1"/>
  <c r="Z396" i="1"/>
  <c r="C397" i="1"/>
  <c r="Y397" i="1"/>
  <c r="Z397" i="1"/>
  <c r="C398" i="1"/>
  <c r="Y398" i="1"/>
  <c r="Z398" i="1"/>
  <c r="C399" i="1"/>
  <c r="Y399" i="1"/>
  <c r="Z399" i="1"/>
  <c r="C400" i="1"/>
  <c r="Y400" i="1"/>
  <c r="Z400" i="1"/>
  <c r="C401" i="1"/>
  <c r="Y401" i="1"/>
  <c r="Z401" i="1"/>
  <c r="C402" i="1"/>
  <c r="Y402" i="1"/>
  <c r="Z402" i="1"/>
  <c r="C403" i="1"/>
  <c r="Y403" i="1"/>
  <c r="Z403" i="1"/>
  <c r="C404" i="1"/>
  <c r="Y404" i="1"/>
  <c r="Z404" i="1"/>
  <c r="CQ404" i="1"/>
  <c r="C405" i="1"/>
  <c r="Y405" i="1"/>
  <c r="Z405" i="1"/>
  <c r="C406" i="1"/>
  <c r="Y406" i="1"/>
  <c r="Z406" i="1"/>
  <c r="C407" i="1"/>
  <c r="Y407" i="1"/>
  <c r="Z407" i="1"/>
  <c r="C408" i="1"/>
  <c r="Y408" i="1"/>
  <c r="Z408" i="1"/>
  <c r="C409" i="1"/>
  <c r="Y409" i="1"/>
  <c r="Z409" i="1"/>
  <c r="C410" i="1"/>
  <c r="Y410" i="1"/>
  <c r="Z410" i="1"/>
  <c r="C411" i="1"/>
  <c r="Y411" i="1"/>
  <c r="Z411" i="1"/>
  <c r="C412" i="1"/>
  <c r="Y412" i="1"/>
  <c r="Z412" i="1"/>
  <c r="C413" i="1"/>
  <c r="Y413" i="1"/>
  <c r="Z413" i="1"/>
  <c r="C414" i="1"/>
  <c r="Y414" i="1"/>
  <c r="Z414" i="1"/>
  <c r="C415" i="1"/>
  <c r="Y415" i="1"/>
  <c r="Z415" i="1"/>
  <c r="C416" i="1"/>
  <c r="Y416" i="1"/>
  <c r="Z416" i="1"/>
  <c r="AB416" i="1"/>
  <c r="C417" i="1"/>
  <c r="Y417" i="1"/>
  <c r="Z417" i="1"/>
  <c r="C418" i="1"/>
  <c r="Y418" i="1"/>
  <c r="Z418" i="1"/>
  <c r="AB418" i="1"/>
  <c r="C419" i="1"/>
  <c r="Y419" i="1"/>
  <c r="Z419" i="1"/>
  <c r="AB419" i="1"/>
  <c r="C420" i="1"/>
  <c r="Y420" i="1"/>
  <c r="Z420" i="1"/>
  <c r="AB420" i="1"/>
  <c r="C421" i="1"/>
  <c r="Y421" i="1"/>
  <c r="Z421" i="1"/>
  <c r="C422" i="1"/>
  <c r="Y422" i="1"/>
  <c r="Z422" i="1"/>
  <c r="C423" i="1"/>
  <c r="Y423" i="1"/>
  <c r="Z423" i="1"/>
  <c r="C424" i="1"/>
  <c r="Y424" i="1"/>
  <c r="Z424" i="1"/>
  <c r="C425" i="1"/>
  <c r="Y425" i="1"/>
  <c r="Z425" i="1"/>
  <c r="C426" i="1"/>
  <c r="Y426" i="1"/>
  <c r="Z426" i="1"/>
  <c r="C427" i="1"/>
  <c r="Y427" i="1"/>
  <c r="Z427" i="1"/>
  <c r="C428" i="1"/>
  <c r="Y428" i="1"/>
  <c r="Z428" i="1"/>
  <c r="C429" i="1"/>
  <c r="Y429" i="1"/>
  <c r="Z429" i="1"/>
  <c r="C430" i="1"/>
  <c r="Y430" i="1"/>
  <c r="Z430" i="1"/>
  <c r="C431" i="1"/>
  <c r="Y431" i="1"/>
  <c r="Z431" i="1"/>
  <c r="C432" i="1"/>
  <c r="Y432" i="1"/>
  <c r="Z432" i="1"/>
  <c r="C433" i="1"/>
  <c r="Y433" i="1"/>
  <c r="Z433" i="1"/>
  <c r="C434" i="1"/>
  <c r="Y434" i="1"/>
  <c r="Z434" i="1"/>
  <c r="C435" i="1"/>
  <c r="Y435" i="1"/>
  <c r="Z435" i="1"/>
  <c r="C436" i="1"/>
  <c r="Y436" i="1"/>
  <c r="Z436" i="1"/>
  <c r="C437" i="1"/>
  <c r="Y437" i="1"/>
  <c r="Z437" i="1"/>
  <c r="C438" i="1"/>
  <c r="Y438" i="1"/>
  <c r="Z438" i="1"/>
  <c r="C439" i="1"/>
  <c r="Y439" i="1"/>
  <c r="Z439" i="1"/>
  <c r="C440" i="1"/>
  <c r="Y440" i="1"/>
  <c r="Z440" i="1"/>
  <c r="C441" i="1"/>
  <c r="Y441" i="1"/>
  <c r="Z441" i="1"/>
  <c r="C442" i="1"/>
  <c r="Y442" i="1"/>
  <c r="Z442" i="1"/>
  <c r="C443" i="1"/>
  <c r="Y443" i="1"/>
  <c r="Z443" i="1"/>
  <c r="C444" i="1"/>
  <c r="Y444" i="1"/>
  <c r="Z444" i="1"/>
  <c r="C445" i="1"/>
  <c r="Y445" i="1"/>
  <c r="Z445" i="1"/>
  <c r="C446" i="1"/>
  <c r="Y446" i="1"/>
  <c r="Z446" i="1"/>
  <c r="C447" i="1"/>
  <c r="Y447" i="1"/>
  <c r="Z447" i="1"/>
  <c r="C448" i="1"/>
  <c r="Y448" i="1"/>
  <c r="Z448" i="1"/>
  <c r="C449" i="1"/>
  <c r="Y449" i="1"/>
  <c r="Z449" i="1"/>
  <c r="C450" i="1"/>
  <c r="Y450" i="1"/>
  <c r="Z450" i="1"/>
  <c r="C451" i="1"/>
  <c r="Y451" i="1"/>
  <c r="Z451" i="1"/>
  <c r="C452" i="1"/>
  <c r="Y452" i="1"/>
  <c r="Z452" i="1"/>
  <c r="C453" i="1"/>
  <c r="Y453" i="1"/>
  <c r="Z453" i="1"/>
  <c r="C454" i="1"/>
  <c r="Y454" i="1"/>
  <c r="Z454" i="1"/>
  <c r="AB454" i="1"/>
  <c r="C455" i="1"/>
  <c r="Y455" i="1"/>
  <c r="Z455" i="1"/>
  <c r="C456" i="1"/>
  <c r="Y456" i="1"/>
  <c r="Z456" i="1"/>
  <c r="C457" i="1"/>
  <c r="Y457" i="1"/>
  <c r="Z457" i="1"/>
  <c r="C458" i="1"/>
  <c r="Y458" i="1"/>
  <c r="Z458" i="1"/>
  <c r="C459" i="1"/>
  <c r="Y459" i="1"/>
  <c r="Z459" i="1"/>
  <c r="C460" i="1"/>
  <c r="Y460" i="1"/>
  <c r="Z460" i="1"/>
  <c r="C461" i="1"/>
  <c r="Y461" i="1"/>
  <c r="Z461" i="1"/>
  <c r="C462" i="1"/>
  <c r="Y462" i="1"/>
  <c r="Z462" i="1"/>
  <c r="M463" i="1"/>
  <c r="N463" i="1"/>
  <c r="O463" i="1"/>
  <c r="P463" i="1"/>
  <c r="Y463" i="1"/>
  <c r="Z463" i="1"/>
  <c r="C464" i="1"/>
  <c r="Y464" i="1"/>
  <c r="Z464" i="1"/>
  <c r="C465" i="1"/>
  <c r="Y465" i="1"/>
  <c r="Z465" i="1"/>
  <c r="C466" i="1"/>
  <c r="Y466" i="1"/>
  <c r="Z466" i="1"/>
  <c r="C467" i="1"/>
  <c r="Y467" i="1"/>
  <c r="Z467" i="1"/>
  <c r="C468" i="1"/>
  <c r="Y468" i="1"/>
  <c r="Z468" i="1"/>
  <c r="C469" i="1"/>
  <c r="Y469" i="1"/>
  <c r="Z469" i="1"/>
  <c r="C470" i="1"/>
  <c r="Y470" i="1"/>
  <c r="Z470" i="1"/>
  <c r="AB470" i="1"/>
  <c r="AQ470" i="1"/>
  <c r="C471" i="1"/>
  <c r="Y471" i="1"/>
  <c r="Z471" i="1"/>
  <c r="AB471" i="1"/>
  <c r="C472" i="1"/>
  <c r="Y472" i="1"/>
  <c r="Z472" i="1"/>
  <c r="C473" i="1"/>
  <c r="Y473" i="1"/>
  <c r="Z473" i="1"/>
  <c r="C474" i="1"/>
  <c r="Y474" i="1"/>
  <c r="Z474" i="1"/>
  <c r="AB474" i="1"/>
  <c r="C475" i="1"/>
  <c r="Y475" i="1"/>
  <c r="Z475" i="1"/>
  <c r="C476" i="1"/>
  <c r="Y476" i="1"/>
  <c r="Z476" i="1"/>
  <c r="AB476" i="1"/>
  <c r="C477" i="1"/>
  <c r="Y477" i="1"/>
  <c r="Z477" i="1"/>
  <c r="C478" i="1"/>
  <c r="Y478" i="1"/>
  <c r="Z478" i="1"/>
  <c r="C479" i="1"/>
  <c r="Y479" i="1"/>
  <c r="Z479" i="1"/>
  <c r="M480" i="1"/>
  <c r="N480" i="1"/>
  <c r="O480" i="1"/>
  <c r="P480" i="1"/>
  <c r="Y480" i="1"/>
  <c r="Z480" i="1"/>
  <c r="C481" i="1"/>
  <c r="Y481" i="1"/>
  <c r="Z481" i="1"/>
  <c r="C482" i="1"/>
  <c r="Y482" i="1"/>
  <c r="Z482" i="1"/>
  <c r="C483" i="1"/>
  <c r="Y483" i="1"/>
  <c r="Z483" i="1"/>
  <c r="C484" i="1"/>
  <c r="Y484" i="1"/>
  <c r="Z484" i="1"/>
  <c r="C485" i="1"/>
  <c r="Y485" i="1"/>
  <c r="Z485" i="1"/>
  <c r="C486" i="1"/>
  <c r="Y486" i="1"/>
  <c r="Z486" i="1"/>
  <c r="C487" i="1"/>
  <c r="Y487" i="1"/>
  <c r="Z487" i="1"/>
  <c r="C488" i="1"/>
  <c r="Y488" i="1"/>
  <c r="Z488" i="1"/>
  <c r="C489" i="1"/>
  <c r="Y489" i="1"/>
  <c r="Z489" i="1"/>
  <c r="C490" i="1"/>
  <c r="Y490" i="1"/>
  <c r="Z490" i="1"/>
  <c r="C491" i="1"/>
  <c r="Y491" i="1"/>
  <c r="Z491" i="1"/>
  <c r="C492" i="1"/>
  <c r="Y492" i="1"/>
  <c r="Z492" i="1"/>
  <c r="C493" i="1"/>
  <c r="Y493" i="1"/>
  <c r="Z493" i="1"/>
  <c r="C494" i="1"/>
  <c r="Y494" i="1"/>
  <c r="Z494" i="1"/>
  <c r="C495" i="1"/>
  <c r="Y495" i="1"/>
  <c r="Z495" i="1"/>
  <c r="C496" i="1"/>
  <c r="Y496" i="1"/>
  <c r="Z496" i="1"/>
  <c r="C497" i="1"/>
  <c r="Y497" i="1"/>
  <c r="Z497" i="1"/>
  <c r="C498" i="1"/>
  <c r="Y498" i="1"/>
  <c r="Z498" i="1"/>
  <c r="C499" i="1"/>
  <c r="Y499" i="1"/>
  <c r="Z499" i="1"/>
  <c r="C500" i="1"/>
  <c r="Y500" i="1"/>
  <c r="Z500" i="1"/>
  <c r="C501" i="1"/>
  <c r="Y501" i="1"/>
  <c r="Z501" i="1"/>
  <c r="AB501" i="1"/>
  <c r="C502" i="1"/>
  <c r="Y502" i="1"/>
  <c r="Z502" i="1"/>
  <c r="AB502" i="1"/>
  <c r="C503" i="1"/>
  <c r="Y503" i="1"/>
  <c r="Z503" i="1"/>
  <c r="C504" i="1"/>
  <c r="Y504" i="1"/>
  <c r="Z504" i="1"/>
  <c r="CQ504" i="1"/>
  <c r="C505" i="1"/>
  <c r="Y505" i="1"/>
  <c r="Z505" i="1"/>
  <c r="C506" i="1"/>
  <c r="Y506" i="1"/>
  <c r="Z506" i="1"/>
  <c r="C507" i="1"/>
  <c r="Y507" i="1"/>
  <c r="Z507" i="1"/>
  <c r="C508" i="1"/>
  <c r="Y508" i="1"/>
  <c r="Z508" i="1"/>
  <c r="C509" i="1"/>
  <c r="Y509" i="1"/>
  <c r="Z509" i="1"/>
  <c r="C510" i="1"/>
  <c r="Y510" i="1"/>
  <c r="Z510" i="1"/>
  <c r="C511" i="1"/>
  <c r="Y511" i="1"/>
  <c r="Z511" i="1"/>
  <c r="C512" i="1"/>
  <c r="Y512" i="1"/>
  <c r="Z512" i="1"/>
  <c r="C513" i="1"/>
  <c r="Y513" i="1"/>
  <c r="Z513" i="1"/>
  <c r="C514" i="1"/>
  <c r="Y514" i="1"/>
  <c r="Z514" i="1"/>
  <c r="C515" i="1"/>
  <c r="Y515" i="1"/>
  <c r="Z515" i="1"/>
  <c r="C516" i="1"/>
  <c r="Y516" i="1"/>
  <c r="Z516" i="1"/>
  <c r="C517" i="1"/>
  <c r="Y517" i="1"/>
  <c r="Z517" i="1"/>
  <c r="C518" i="1"/>
  <c r="Y518" i="1"/>
  <c r="Z518" i="1"/>
  <c r="C519" i="1"/>
  <c r="Y519" i="1"/>
  <c r="Z519" i="1"/>
  <c r="C520" i="1"/>
  <c r="Y520" i="1"/>
  <c r="Z520" i="1"/>
  <c r="C521" i="1"/>
  <c r="Y521" i="1"/>
  <c r="Z521" i="1"/>
  <c r="C522" i="1"/>
  <c r="Y522" i="1"/>
  <c r="Z522" i="1"/>
  <c r="AQ522" i="1"/>
  <c r="DM522" i="1"/>
  <c r="DN522" i="1"/>
  <c r="C523" i="1"/>
  <c r="Y523" i="1"/>
  <c r="Z523" i="1"/>
  <c r="DM523" i="1"/>
  <c r="DN523" i="1"/>
  <c r="C524" i="1"/>
  <c r="Y524" i="1"/>
  <c r="Z524" i="1"/>
  <c r="DM524" i="1"/>
  <c r="DN524" i="1"/>
  <c r="C525" i="1"/>
  <c r="Y525" i="1"/>
  <c r="Z525" i="1"/>
  <c r="C526" i="1"/>
  <c r="Y526" i="1"/>
  <c r="Z526" i="1"/>
  <c r="C527" i="1"/>
  <c r="Y527" i="1"/>
  <c r="Z527" i="1"/>
  <c r="C528" i="1"/>
  <c r="Y528" i="1"/>
  <c r="Z528" i="1"/>
  <c r="C529" i="1"/>
  <c r="Y529" i="1"/>
  <c r="Z529" i="1"/>
  <c r="C530" i="1"/>
  <c r="Y530" i="1"/>
  <c r="Z530" i="1"/>
  <c r="C531" i="1"/>
  <c r="Y531" i="1"/>
  <c r="Z531" i="1"/>
  <c r="C532" i="1"/>
  <c r="Y532" i="1"/>
  <c r="Z532" i="1"/>
  <c r="C533" i="1"/>
  <c r="Y533" i="1"/>
  <c r="Z533" i="1"/>
  <c r="C534" i="1"/>
  <c r="Y534" i="1"/>
  <c r="Z534" i="1"/>
  <c r="C535" i="1"/>
  <c r="Y535" i="1"/>
  <c r="Z535" i="1"/>
  <c r="C536" i="1"/>
  <c r="Y536" i="1"/>
  <c r="Z536" i="1"/>
  <c r="C537" i="1"/>
  <c r="Y537" i="1"/>
  <c r="Z537" i="1"/>
  <c r="C538" i="1"/>
  <c r="Y538" i="1"/>
  <c r="Z538" i="1"/>
  <c r="C539" i="1"/>
  <c r="Y539" i="1"/>
  <c r="Z539" i="1"/>
  <c r="C540" i="1"/>
  <c r="Y540" i="1"/>
  <c r="Z540" i="1"/>
  <c r="C541" i="1"/>
  <c r="Y541" i="1"/>
  <c r="Z541" i="1"/>
  <c r="C542" i="1"/>
  <c r="Y542" i="1"/>
  <c r="Z542" i="1"/>
  <c r="C543" i="1"/>
  <c r="Y543" i="1"/>
  <c r="Z543" i="1"/>
  <c r="C544" i="1"/>
  <c r="Y544" i="1"/>
  <c r="Z544" i="1"/>
  <c r="C545" i="1"/>
  <c r="Y545" i="1"/>
  <c r="Z545" i="1"/>
  <c r="C546" i="1"/>
  <c r="Y546" i="1"/>
  <c r="Z546" i="1"/>
  <c r="C547" i="1"/>
  <c r="Y547" i="1"/>
  <c r="Z547" i="1"/>
  <c r="C548" i="1"/>
  <c r="Y548" i="1"/>
  <c r="Z548" i="1"/>
  <c r="C549" i="1"/>
  <c r="Y549" i="1"/>
  <c r="Z549" i="1"/>
  <c r="C550" i="1"/>
  <c r="Y550" i="1"/>
  <c r="Z550" i="1"/>
  <c r="C551" i="1"/>
  <c r="Y551" i="1"/>
  <c r="Z551" i="1"/>
  <c r="C552" i="1"/>
  <c r="Y552" i="1"/>
  <c r="Z552" i="1"/>
  <c r="C553" i="1"/>
  <c r="Y553" i="1"/>
  <c r="Z553" i="1"/>
  <c r="C554" i="1"/>
  <c r="Y554" i="1"/>
  <c r="Z554" i="1"/>
  <c r="C555" i="1"/>
  <c r="Y555" i="1"/>
  <c r="Z555" i="1"/>
  <c r="C556" i="1"/>
  <c r="Y556" i="1"/>
  <c r="Z556" i="1"/>
  <c r="C557" i="1"/>
  <c r="Y557" i="1"/>
  <c r="Z557" i="1"/>
  <c r="AB557" i="1"/>
  <c r="C558" i="1"/>
  <c r="Y558" i="1"/>
  <c r="Z558" i="1"/>
  <c r="C559" i="1"/>
  <c r="Y559" i="1"/>
  <c r="Z559" i="1"/>
  <c r="DM559" i="1"/>
  <c r="DN559" i="1"/>
  <c r="C560" i="1"/>
  <c r="Y560" i="1"/>
  <c r="Z560" i="1"/>
  <c r="C561" i="1"/>
  <c r="Y561" i="1"/>
  <c r="Z561" i="1"/>
  <c r="C562" i="1"/>
  <c r="Y562" i="1"/>
  <c r="Z562" i="1"/>
  <c r="C563" i="1"/>
  <c r="Y563" i="1"/>
  <c r="Z563" i="1"/>
</calcChain>
</file>

<file path=xl/sharedStrings.xml><?xml version="1.0" encoding="utf-8"?>
<sst xmlns="http://schemas.openxmlformats.org/spreadsheetml/2006/main" count="27536" uniqueCount="1496">
  <si>
    <t>EI Контингента</t>
  </si>
  <si>
    <t>ID контингента</t>
  </si>
  <si>
    <t>ИИН</t>
  </si>
  <si>
    <t>Фамилия</t>
  </si>
  <si>
    <t>Имя</t>
  </si>
  <si>
    <t>Отчество</t>
  </si>
  <si>
    <t>Дата рождения</t>
  </si>
  <si>
    <t>Причина отсутствия ИИН [7194]</t>
  </si>
  <si>
    <t>Пол [206]</t>
  </si>
  <si>
    <t>Гражданство [6416]</t>
  </si>
  <si>
    <t>Национальность [210]</t>
  </si>
  <si>
    <t>Беженец [6636]</t>
  </si>
  <si>
    <t>Номер документа, удостоверяющего личность [6908]</t>
  </si>
  <si>
    <t>Дата выдачи документа, удостоверяющего личность [6910]</t>
  </si>
  <si>
    <t>Вложение (прикрепите скан копию документа, удостоверяющего личность: 1-я скан копия, страница с паспорта, где ФИО) [7276]</t>
  </si>
  <si>
    <t>Вложение (прикрепите скан копию документа, удостоверяющего личность: 2-я скан копия, страница с печатью пограничной службы) [7277]</t>
  </si>
  <si>
    <t>Кандас [6194]</t>
  </si>
  <si>
    <t>Законный представитель учащегося [7021]</t>
  </si>
  <si>
    <t>Работает [7009]</t>
  </si>
  <si>
    <t>Должность законного представителя [7010]</t>
  </si>
  <si>
    <t>Место работы законного представителя [7011]</t>
  </si>
  <si>
    <t>Заявление на принятие в ОО [application_work_eo]</t>
  </si>
  <si>
    <t>№ личного дела учащегося [7014]</t>
  </si>
  <si>
    <t>Дата создания личного дела [7015]</t>
  </si>
  <si>
    <t>Дата прибытия/зачисления [267]</t>
  </si>
  <si>
    <t>Номер приказа прибытия/зачисления [5672]</t>
  </si>
  <si>
    <t>Прибыл(-а) [266]</t>
  </si>
  <si>
    <t>Электронный адрес (Е-mail) [6915]</t>
  </si>
  <si>
    <t>Посещал дошкольные организации [5682]</t>
  </si>
  <si>
    <t>Параллель [207]</t>
  </si>
  <si>
    <t>Литера [6668]</t>
  </si>
  <si>
    <t>Класс-комплект [423]</t>
  </si>
  <si>
    <t>Учится в группе продленного дня [254]</t>
  </si>
  <si>
    <t>Язык обучения [209]</t>
  </si>
  <si>
    <t>Смена обучения [208]</t>
  </si>
  <si>
    <t>Форма обучения [5568]</t>
  </si>
  <si>
    <t>Обучается по обновленным учебным программам [6458]</t>
  </si>
  <si>
    <t>Учится в классе с вечерней формой обучения [263]</t>
  </si>
  <si>
    <t>Наличие компьютерных/иных устройств дома [7214]</t>
  </si>
  <si>
    <t>Инвентарный номер [7239]</t>
  </si>
  <si>
    <t>Источник приобретения [7240]</t>
  </si>
  <si>
    <t>Год приобретения [7241]</t>
  </si>
  <si>
    <t>Дата изменения Наличия комп.устройств(обеспечен организацией) [7280]</t>
  </si>
  <si>
    <t>Наличие доступа к Интернету дома [7213]</t>
  </si>
  <si>
    <t>Обеспечен [7245]</t>
  </si>
  <si>
    <t>Серийный номер модема/роутера [7246]</t>
  </si>
  <si>
    <t>Ребенок , обучающийся на дому [5776]</t>
  </si>
  <si>
    <t>Диагноз [6982]</t>
  </si>
  <si>
    <t>Программа обучения [6983]</t>
  </si>
  <si>
    <t>Период индивидуального обучения [6984] / Период с [76518]</t>
  </si>
  <si>
    <t>Период индивидуального обучения [6984] / Период по [76519]</t>
  </si>
  <si>
    <t>Ребенок, обучающийся дистанционно [5777]</t>
  </si>
  <si>
    <t>Сведения о подвозе [7049]</t>
  </si>
  <si>
    <t>Обеспечен комплектом учебников [7022]</t>
  </si>
  <si>
    <t>Охват горячим питанием [6641]</t>
  </si>
  <si>
    <t>Охват буфетным питанием [6642]</t>
  </si>
  <si>
    <t>Уровень успеваемости (годовая оценка) [247]</t>
  </si>
  <si>
    <t>Оставлен на повторный курс [5670]</t>
  </si>
  <si>
    <t>Освоение программы по дисциплинам естественно-математического цикла (годовые оценки) [5778] / Дисциплины [74990]</t>
  </si>
  <si>
    <t>Освоение программы по дисциплинам естественно-математического цикла (годовые оценки) [5778] / Оценка [74991]</t>
  </si>
  <si>
    <t>В классе углубленного изучения предметов [214]</t>
  </si>
  <si>
    <t>Изучаемый иностранный язык 1 [7019]</t>
  </si>
  <si>
    <t>Изучаемый иностранный язык 2 [7020]</t>
  </si>
  <si>
    <t>Изучает английский язык с первого класса [6337]</t>
  </si>
  <si>
    <t>Изучение предметов на иностранном языке [5596] / Язык обучения [74997]</t>
  </si>
  <si>
    <t>Изучение предметов на иностранном языке [5596] / Предметы [75072]</t>
  </si>
  <si>
    <t>Родной язык как самостоятельный предмет [255]</t>
  </si>
  <si>
    <t>Родные языки изучает факультативно или в кружках [270]</t>
  </si>
  <si>
    <t>Техника чтения в минуту [6758]</t>
  </si>
  <si>
    <t>Посещает кружки и секции в данной организации [7271] / Наименование кружков/секций [72711]</t>
  </si>
  <si>
    <t>Посещает кружки и секции в данной организации [7271] / Способ оплаты [72712]</t>
  </si>
  <si>
    <t>Посещает организации дополнительного образования для детей (внешкольные организации) [7270] / Наименование кружков/секций [72701]</t>
  </si>
  <si>
    <t>Посещает организации дополнительного образования для детей (внешкольные организации) [7270] / Способ оплаты [72702]</t>
  </si>
  <si>
    <t>Участие в соревнованиях, конкурсах и олимпиадах [6759] / Вид мероприятия [76308]</t>
  </si>
  <si>
    <t>Участие в соревнованиях, конкурсах и олимпиадах [6759] / Вид направления [76309]</t>
  </si>
  <si>
    <t>Участие в соревнованиях, конкурсах и олимпиадах [6759] / Уровень мероприятия [76310]</t>
  </si>
  <si>
    <t>Участие в соревнованиях, конкурсах и олимпиадах [6759] / Награда [76312]</t>
  </si>
  <si>
    <t>Участие в соревнованиях, конкурсах и олимпиадах [6759] / Дата участия [76663]</t>
  </si>
  <si>
    <t>Принял (-а) участие в мероприятиях в рамках реализации подпрограммы «Тәрбие және білім» программы «Рухани жаңғыру» [6760]</t>
  </si>
  <si>
    <t>Охвачен летним отдыхом [6957]</t>
  </si>
  <si>
    <t>Сведения о летнем отдыхе [6958] / Период  [76484]</t>
  </si>
  <si>
    <t>Сведения о летнем отдыхе [6958] / Питание [76485]</t>
  </si>
  <si>
    <t>Сведения о летнем отдыхе [6958] / Место прохождения [76486]</t>
  </si>
  <si>
    <t>Состоит на учете [6959]</t>
  </si>
  <si>
    <t>Состоит на внутришкольном учете [6428]</t>
  </si>
  <si>
    <t>С девиантным поведением [6960]</t>
  </si>
  <si>
    <t>Ребенок - сирота [251]</t>
  </si>
  <si>
    <t>Ребенок, оставшийся без попечения родителей [258]</t>
  </si>
  <si>
    <t>Сведения о здоровье [health_info_01] / Дата постановки на учет больного [patient_dt_beg]</t>
  </si>
  <si>
    <t>Сведения о здоровье [health_info_01] / Дата снятия с учета больного [patient_dt_end]</t>
  </si>
  <si>
    <t>Сведения о здоровье [health_info_01] / Вид заболевания [disease]</t>
  </si>
  <si>
    <t>Сведения о здоровье [health_info_01] / Медицинская организация ведущая диспансерное наблюдение [medical_organization]</t>
  </si>
  <si>
    <t>Сведения о здоровье [health_info_01] / Регион регистрации больного [patient_region]</t>
  </si>
  <si>
    <t>Инвалид [253]</t>
  </si>
  <si>
    <t>Дата установления инвалидности [7184]</t>
  </si>
  <si>
    <t>Медицинская карта [student_medical_card]</t>
  </si>
  <si>
    <t>Виды нарушений [5783]</t>
  </si>
  <si>
    <t>№ заключения ПМПК (до 18 лет)/ВКК (старше 18 лет) [6980]</t>
  </si>
  <si>
    <t>Дата заключения [6981]</t>
  </si>
  <si>
    <t>Охвачен занятиями физкультуры и спорта в специальных медицинских группах [6424]</t>
  </si>
  <si>
    <t>Посещает логопедический пункт [6314]</t>
  </si>
  <si>
    <t>Обучается  в специальных классах [5799]</t>
  </si>
  <si>
    <t>Получатель адресной социальной помощи [7064]</t>
  </si>
  <si>
    <t>Уровень прожиточного минимума [7285]</t>
  </si>
  <si>
    <t>Относится к категории граждан, которым оказывается финансовая и материальная помощь [6640]</t>
  </si>
  <si>
    <t>Претендент на награждение знаком «Алтын белгі» [6657]</t>
  </si>
  <si>
    <t>Подтвердил знак «Алтын белгі» [6656]</t>
  </si>
  <si>
    <t>Выпущен [5833]</t>
  </si>
  <si>
    <t>Аттестат о среднем образовании (Серия аттестата)/Аттестат об основном образовании (Серия аттестата) [5723]</t>
  </si>
  <si>
    <t>Аттестат о среднем образовании (Номер аттестата)/Аттестат об основном образовании (Номер аттестата) [5873]</t>
  </si>
  <si>
    <t>Аттестат о среднем образовании (Дата выдачи)/Аттестат об основном образовании (Дата выдачи) [5724]</t>
  </si>
  <si>
    <t>Лист ответов итоговой аттестации обучающихся 11 (12) класса [answer_sheet_final_11]</t>
  </si>
  <si>
    <t>Заявление на единое национальное тестирование [app_ent]</t>
  </si>
  <si>
    <t>Заявление на конкурс по присуждению образовательного гранта [app_grant]</t>
  </si>
  <si>
    <t>Сертификат единого национального тестирования [certificate_ent]</t>
  </si>
  <si>
    <t>Сертификата комплексного тестирования абитуриента [certificate_complex_test]</t>
  </si>
  <si>
    <t>Дата выбытия [269]</t>
  </si>
  <si>
    <t>Номер приказа выбытия [5673]</t>
  </si>
  <si>
    <t>Причина выбытия [268]</t>
  </si>
  <si>
    <t>Трудоустройство [5881]</t>
  </si>
  <si>
    <t>Страна выбытия [6776]</t>
  </si>
  <si>
    <t>Дата трудоустройства [employment_date]</t>
  </si>
  <si>
    <t>Профессия [employment_profession]</t>
  </si>
  <si>
    <t>Общий классификатор видов экономической деятельности [employment_oked]</t>
  </si>
  <si>
    <t>Форма собственности организации трудоустройства [employment_type_of_ownership]</t>
  </si>
  <si>
    <t>Учебный год [ed_year]</t>
  </si>
  <si>
    <t>Индивидуальный код тестирования [test_id]</t>
  </si>
  <si>
    <t>Серия свидетельства [svid_series]</t>
  </si>
  <si>
    <t>Номер свидетельства [svid_number]</t>
  </si>
  <si>
    <t>Дата выдачи свидетельства [svid_date]</t>
  </si>
  <si>
    <t>№ Приказа (грант) [grant_order_number]</t>
  </si>
  <si>
    <t>Дата приказа Приказа (грант) [grant_order_date]</t>
  </si>
  <si>
    <t>Номер и наименование ГОП (грант) [education_program]</t>
  </si>
  <si>
    <t>Наименование ВУЗа (грант) [university_name]</t>
  </si>
  <si>
    <t>Форма обучения (очная/очная сокращенная) [study_form]</t>
  </si>
  <si>
    <t>Квота и вид гранта [gtant_type]</t>
  </si>
  <si>
    <t>Сведения об ЕНТ [entinfo] / Номер сертификата [entinfo_number]</t>
  </si>
  <si>
    <t>Сведения об ЕНТ [entinfo] / Индивидуальный код тестируемого [entinfo_individual_code]</t>
  </si>
  <si>
    <t>Сведения об ЕНТ [entinfo] / Дата тестирования [entinfo_date]</t>
  </si>
  <si>
    <t>Сведения об ЕНТ [entinfo] / Год тестирования [entinfo_year]</t>
  </si>
  <si>
    <t>Сведения об ЕНТ [entinfo] / ЕНТ для участия в гранте/ платной основе [entinfo_period]</t>
  </si>
  <si>
    <t>Сведения об ЕНТ [entinfo] / Тип тестирования (Форма обучения) [entinfo_type]</t>
  </si>
  <si>
    <t>Сведения об ЕНТ [entinfo] / Количество предметов [is_change_cnt_subj]</t>
  </si>
  <si>
    <t>Сведения об ЕНТ [entinfo] / Язык сдачи тестирования [ent_lang]</t>
  </si>
  <si>
    <t>Сведения об ЕНТ [entinfo] / БИН ОО на момент сдачи ЕНТ [school_bin]</t>
  </si>
  <si>
    <t>Сведения об ЕНТ [entinfo] / ИД регионального центра тестирования [test_org_id]</t>
  </si>
  <si>
    <t>Количество набранных баллов по сертификату [score] / Номер сертификата [entinfo_number]</t>
  </si>
  <si>
    <t>Количество набранных баллов по сертификату [score] / Индивидуальный код тестируемого [entinfo_individual_code]</t>
  </si>
  <si>
    <t>Количество набранных баллов по сертификату [score] / Порядковый номер предметов/дисциплин [order]</t>
  </si>
  <si>
    <t>Количество набранных баллов по сертификату [score] / Тип предмета/дисциплины [subject_type]</t>
  </si>
  <si>
    <t>Количество набранных баллов по сертификату [score] / Наименование предмета/дисциплины [subject_id]</t>
  </si>
  <si>
    <t>Количество набранных баллов по сертификату [score] / Балл предмета/дисциплины [total_score]</t>
  </si>
  <si>
    <t>Количество набранных баллов по сертификату [score] / Язык сдачи предмета/дисциплины ЕНТ [lang_id]</t>
  </si>
  <si>
    <t>Количество набранных баллов по сертификату [score] / Дата сдачи ЕНТ [entinfo_date]</t>
  </si>
  <si>
    <t>Был творческий экзамен? [entinfo_creative]</t>
  </si>
  <si>
    <t>Номер и наименование творческого ГОП [edu_program_code]</t>
  </si>
  <si>
    <t>Тип тестирования (Форма обучения) [entinfo_type]</t>
  </si>
  <si>
    <t>Наименование ВУЗа, в котором сдан творческий экзамен [university_bin]</t>
  </si>
  <si>
    <t>Результат творческого экзамена [creative_exam] / Дата тестирования [date_exam]</t>
  </si>
  <si>
    <t>Результат творческого экзамена [creative_exam] / Порядковый номер творческих экзаменов [order]</t>
  </si>
  <si>
    <t>Результат творческого экзамена [creative_exam] / Наименование предмета/дисциплины [subject_id]</t>
  </si>
  <si>
    <t>Результат творческого экзамена [creative_exam] / Балл [ball]</t>
  </si>
  <si>
    <t>Был специальный экзамен? [entinfo_special]</t>
  </si>
  <si>
    <t>Результат специального экзамена [spec_exam] / Дата экзамена [date_exam]</t>
  </si>
  <si>
    <t>Результат специального экзамена [spec_exam] / Область специального экзамена [exam_area]</t>
  </si>
  <si>
    <t>Результат специального экзамена [spec_exam] / Допуск? [exam_result]</t>
  </si>
  <si>
    <t>Было тестирование по английскому языку? [entinfo_english]</t>
  </si>
  <si>
    <t>Результат экзамен по английскому языку [english_exam] / Дата тестирования [date_exam]</t>
  </si>
  <si>
    <t>Результат экзамен по английскому языку [english_exam] / Балл [ball]</t>
  </si>
  <si>
    <t>Дата тестирования ВОУД [voud_date]</t>
  </si>
  <si>
    <t>Результат тестирования ВОУД [voud_score]</t>
  </si>
  <si>
    <t>Наличие заявки с eGOV [7296]</t>
  </si>
  <si>
    <t>Табель [7181] / Дисциплины [71810]</t>
  </si>
  <si>
    <t>Табель [7181] / 1 четверть [71811]</t>
  </si>
  <si>
    <t>Табель [7181] / 2 четверть [71812]</t>
  </si>
  <si>
    <t>Табель [7181] / 1 полугодие [71813]</t>
  </si>
  <si>
    <t>Табель [7181] / 3 четверть [71814]</t>
  </si>
  <si>
    <t>Табель [7181] / 4 четверть [71815]</t>
  </si>
  <si>
    <t>Табель [7181] / 2 полугодие [71816]</t>
  </si>
  <si>
    <t>Табель [7181] / 1ый семестр [71817]</t>
  </si>
  <si>
    <t>Табель [7181] / 2ой семестр [71818]</t>
  </si>
  <si>
    <t>Табель [7181] / Годовая [71819]</t>
  </si>
  <si>
    <t>Табель [7181] / Учебный год [71820]</t>
  </si>
  <si>
    <t>Статус свидетельства грант [certificate_status_id]</t>
  </si>
  <si>
    <t>КОЖАСБАЕВ</t>
  </si>
  <si>
    <t>АЛИХАН</t>
  </si>
  <si>
    <t>ЕРЖАНОВИЧ</t>
  </si>
  <si>
    <t>мужской</t>
  </si>
  <si>
    <t>КАЗАХСТАН</t>
  </si>
  <si>
    <t>Казахи</t>
  </si>
  <si>
    <t>другого района (города) данной области</t>
  </si>
  <si>
    <t>не посещал</t>
  </si>
  <si>
    <t>8 класс</t>
  </si>
  <si>
    <t>Б</t>
  </si>
  <si>
    <t>Да</t>
  </si>
  <si>
    <t>русский</t>
  </si>
  <si>
    <t>очная</t>
  </si>
  <si>
    <t>нет</t>
  </si>
  <si>
    <t>ноутбук (личный)</t>
  </si>
  <si>
    <t>Личный</t>
  </si>
  <si>
    <t>[]</t>
  </si>
  <si>
    <t>обеспечен данной школой</t>
  </si>
  <si>
    <t>3 - троечник</t>
  </si>
  <si>
    <t>Математика, Физика, Информатика, Химия, Биология, География</t>
  </si>
  <si>
    <t>3, 3, 4, 4, 3, 4</t>
  </si>
  <si>
    <t>английский язык</t>
  </si>
  <si>
    <t>не изучает</t>
  </si>
  <si>
    <t>волейбольные</t>
  </si>
  <si>
    <t>бесплатно</t>
  </si>
  <si>
    <t>Спартакиада</t>
  </si>
  <si>
    <t>Спортивное</t>
  </si>
  <si>
    <t>Республиканские</t>
  </si>
  <si>
    <t>Грамота</t>
  </si>
  <si>
    <t>2022-04-21T00:00:00</t>
  </si>
  <si>
    <t>Нет</t>
  </si>
  <si>
    <t>Не состоит</t>
  </si>
  <si>
    <t>[нет]</t>
  </si>
  <si>
    <t>не обучается</t>
  </si>
  <si>
    <t>не относится ни к одной из указанных категорий</t>
  </si>
  <si>
    <t>КАНЦЕВА</t>
  </si>
  <si>
    <t>АНГЕЛИНА</t>
  </si>
  <si>
    <t>ДМИТРИЕВНА</t>
  </si>
  <si>
    <t>женский</t>
  </si>
  <si>
    <t>Русские</t>
  </si>
  <si>
    <t>данного района (города, села)</t>
  </si>
  <si>
    <t>2 года</t>
  </si>
  <si>
    <t>7 класс</t>
  </si>
  <si>
    <t>А</t>
  </si>
  <si>
    <t>смартфон</t>
  </si>
  <si>
    <t>4 - хорошист</t>
  </si>
  <si>
    <t>Математика, Информатика, Естествознание</t>
  </si>
  <si>
    <t>4, 5, 4</t>
  </si>
  <si>
    <t>нет (не посещает)</t>
  </si>
  <si>
    <t>Не участвовал(а)</t>
  </si>
  <si>
    <t>ПОЗЕМИНА</t>
  </si>
  <si>
    <t>ЯНА</t>
  </si>
  <si>
    <t>АЛЕКСЕЕВНА</t>
  </si>
  <si>
    <t>1 год и меньше</t>
  </si>
  <si>
    <t>Математика</t>
  </si>
  <si>
    <t>ХОЛЯВКО</t>
  </si>
  <si>
    <t>ВЛАДИМИР</t>
  </si>
  <si>
    <t>ПАВЛОВИЧ</t>
  </si>
  <si>
    <t>6 класс</t>
  </si>
  <si>
    <t>В</t>
  </si>
  <si>
    <t>5 - отличник</t>
  </si>
  <si>
    <t>5, 5, 5</t>
  </si>
  <si>
    <t>футбольные</t>
  </si>
  <si>
    <t>Олимпиада , Олимпиада</t>
  </si>
  <si>
    <t>Предметное, Предметное</t>
  </si>
  <si>
    <t>Республиканские, Республиканские</t>
  </si>
  <si>
    <t>Грамота,  Грамота</t>
  </si>
  <si>
    <t>2018-10-25T00:00:00, 2022-04-28T00:00:00</t>
  </si>
  <si>
    <t>ГРАНКОВСКАЯ</t>
  </si>
  <si>
    <t>ЛИЯ</t>
  </si>
  <si>
    <t>АРТУРОВНА</t>
  </si>
  <si>
    <t>3 года и больше</t>
  </si>
  <si>
    <t>3, 4, 5</t>
  </si>
  <si>
    <t>БРОДТ</t>
  </si>
  <si>
    <t>АНАСТАСИЯ</t>
  </si>
  <si>
    <t>ВИКТОРОВНА</t>
  </si>
  <si>
    <t>Немцы</t>
  </si>
  <si>
    <t>5 класс</t>
  </si>
  <si>
    <t>Математика, Естествознание, Информатика</t>
  </si>
  <si>
    <t>4, 4, 5</t>
  </si>
  <si>
    <t>Июнь</t>
  </si>
  <si>
    <t>без питания</t>
  </si>
  <si>
    <t>пришкольный оздоровительный лагерь</t>
  </si>
  <si>
    <t>КРИСТИНА</t>
  </si>
  <si>
    <t>АНДРЕЕВНА</t>
  </si>
  <si>
    <t>Математика, Естествознание</t>
  </si>
  <si>
    <t>4, 4</t>
  </si>
  <si>
    <t>55-69</t>
  </si>
  <si>
    <t>АУБАКИРОВА</t>
  </si>
  <si>
    <t>ЖАНЕЛЬ</t>
  </si>
  <si>
    <t>АСКАРОВНА</t>
  </si>
  <si>
    <t>4, 4, 3</t>
  </si>
  <si>
    <t>БОЛАТ</t>
  </si>
  <si>
    <t>АНУАР</t>
  </si>
  <si>
    <t>ҚАНАТҰЛЫ</t>
  </si>
  <si>
    <t>3, 3</t>
  </si>
  <si>
    <t>25-39</t>
  </si>
  <si>
    <t>ХАБИБУЛЛА</t>
  </si>
  <si>
    <t>МАХАББАТ</t>
  </si>
  <si>
    <t>АНВАРҚЫЗЫ</t>
  </si>
  <si>
    <t>Курды</t>
  </si>
  <si>
    <t>4 класс</t>
  </si>
  <si>
    <t>40-54</t>
  </si>
  <si>
    <t>КИСИЛЕВ</t>
  </si>
  <si>
    <t>ВИТАЛИЙ</t>
  </si>
  <si>
    <t>АЛЕКСАНДРОВИЧ</t>
  </si>
  <si>
    <t>Математика, Информатика, Физика, Химия, Биология, География</t>
  </si>
  <si>
    <t>4, 4, 4, 4, 4, 4</t>
  </si>
  <si>
    <t>НАЗАРОВА</t>
  </si>
  <si>
    <t>САБИНА</t>
  </si>
  <si>
    <t>3, 5, 3</t>
  </si>
  <si>
    <t>ШИДЛОВСКИЙ</t>
  </si>
  <si>
    <t>АНТОН</t>
  </si>
  <si>
    <t>АЛЕКСЕЕВИЧ</t>
  </si>
  <si>
    <t>Поляки</t>
  </si>
  <si>
    <t>5, 4, 4</t>
  </si>
  <si>
    <t>Турнир</t>
  </si>
  <si>
    <t>Районные</t>
  </si>
  <si>
    <t>2019-08-16T00:00:00</t>
  </si>
  <si>
    <t>АЙТКАЗИН</t>
  </si>
  <si>
    <t>МАКСАТ</t>
  </si>
  <si>
    <t>МИРАСОВИЧ</t>
  </si>
  <si>
    <t>Информатика, Математика, Естествознание</t>
  </si>
  <si>
    <t>4, 4, 4</t>
  </si>
  <si>
    <t>ШИДЛОВСКАЯ</t>
  </si>
  <si>
    <t>АЛЕКСАНДРА</t>
  </si>
  <si>
    <t>5, 5, 4, 4, 4, 4</t>
  </si>
  <si>
    <t>АМАНГЕЛЬДИЕВ</t>
  </si>
  <si>
    <t>АЙҚЫН</t>
  </si>
  <si>
    <t>МЕЙРАМҰЛЫ</t>
  </si>
  <si>
    <t>прибыл на дополнительное место с данного района (города, села)</t>
  </si>
  <si>
    <t>БОНДАРЕНКО</t>
  </si>
  <si>
    <t>ЕВГЕНЬЕВИЧ</t>
  </si>
  <si>
    <t>[охвачен(-а) горячим питанием, охвачен(-а) бесплатным горячим питанием]</t>
  </si>
  <si>
    <t>3, 3, 3, 3, 4, 4</t>
  </si>
  <si>
    <t>ВАВИЛОВ</t>
  </si>
  <si>
    <t>АРТЕМ</t>
  </si>
  <si>
    <t>ГОРЛЕНКО</t>
  </si>
  <si>
    <t>КИРИЛЛ</t>
  </si>
  <si>
    <t>ДМИТРИЕВИЧ</t>
  </si>
  <si>
    <t>прибыл на дополнительное место с другой области</t>
  </si>
  <si>
    <t>ЗВЯГИНЦЕВА</t>
  </si>
  <si>
    <t>АННА</t>
  </si>
  <si>
    <t>МИХАЙЛОВНА</t>
  </si>
  <si>
    <t>3, 4, 5, 3, 3, 4</t>
  </si>
  <si>
    <t>ИВАЩЕНКО</t>
  </si>
  <si>
    <t>ЕВГЕНИЯ</t>
  </si>
  <si>
    <t>прибыл на дополнительное место с другого района (города) данной области</t>
  </si>
  <si>
    <t>КАРЫБАЕВА</t>
  </si>
  <si>
    <t>МАРЬЯМ</t>
  </si>
  <si>
    <t>МАРАТОВНА</t>
  </si>
  <si>
    <t>КИМ</t>
  </si>
  <si>
    <t>АЛЕКСАНДРОВНА</t>
  </si>
  <si>
    <t>УЗБЕКИСТАН</t>
  </si>
  <si>
    <t>Корейцы</t>
  </si>
  <si>
    <t>Математика, Физика, Химия, Биология, География, Информатика</t>
  </si>
  <si>
    <t>5, 4, 4, 4, 4, 4</t>
  </si>
  <si>
    <t>сиротам и детям, оставшимся без попечения родителей, проживающим в семьях</t>
  </si>
  <si>
    <t>КИРИЧЕНКО</t>
  </si>
  <si>
    <t>ДАНИЛ</t>
  </si>
  <si>
    <t>СЕРГЕЕВИЧ</t>
  </si>
  <si>
    <t>Украинцы</t>
  </si>
  <si>
    <t>ОТРАДА</t>
  </si>
  <si>
    <t>ПАВЛОВНА</t>
  </si>
  <si>
    <t>СЛАТИНИН</t>
  </si>
  <si>
    <t>ДАНИИЛ</t>
  </si>
  <si>
    <t>ИВАНОВИЧ</t>
  </si>
  <si>
    <t>Республиканские, Районные</t>
  </si>
  <si>
    <t>2021-10-06T00:00:00, 2022-04-04T00:00:00</t>
  </si>
  <si>
    <t>БАБЕНКО</t>
  </si>
  <si>
    <t>СТАНИСЛАВ</t>
  </si>
  <si>
    <t>СТАНИСЛАВОВИЧ</t>
  </si>
  <si>
    <t>АНДРЕЕВА</t>
  </si>
  <si>
    <t>ЯСМИНА</t>
  </si>
  <si>
    <t>СЕРГЕЕВНА</t>
  </si>
  <si>
    <t>Информатика, Естествознание, Математика</t>
  </si>
  <si>
    <t>ГРИГОРЬЕВА</t>
  </si>
  <si>
    <t>КАРАЛИНА</t>
  </si>
  <si>
    <t>ГРИЦЕНКО</t>
  </si>
  <si>
    <t>ДМИТРИЙ</t>
  </si>
  <si>
    <t>ДОМРАЧЕВА</t>
  </si>
  <si>
    <t>ВЛАДИМИРОВНА</t>
  </si>
  <si>
    <t>3, 4, 4, 3, 3, 3</t>
  </si>
  <si>
    <t>ЕРМУРАТ</t>
  </si>
  <si>
    <t>ЛАУРА</t>
  </si>
  <si>
    <t>ЖАНКЕЛЬДЫҚЫЗЫ</t>
  </si>
  <si>
    <t>ИМАНОВА</t>
  </si>
  <si>
    <t>АЛИНА</t>
  </si>
  <si>
    <t>НАМИКОВНА</t>
  </si>
  <si>
    <t>Азербайджанцы</t>
  </si>
  <si>
    <t>4, 5, 5, 4, 4, 4</t>
  </si>
  <si>
    <t>ЛИТВИНЕНКО</t>
  </si>
  <si>
    <t>РОМАН</t>
  </si>
  <si>
    <t>3, 3, 3, 4, 4, 4</t>
  </si>
  <si>
    <t>МАСЛОВА</t>
  </si>
  <si>
    <t>ЕВГЕНЬЕВНА</t>
  </si>
  <si>
    <t>МИРСАГАТОВ</t>
  </si>
  <si>
    <t>РЕНАТОВИЧ</t>
  </si>
  <si>
    <t>Татары</t>
  </si>
  <si>
    <t>4, 3, 4, 3, 3, 4</t>
  </si>
  <si>
    <t>САВИЦКИЙ</t>
  </si>
  <si>
    <t>НИКИТА</t>
  </si>
  <si>
    <t>МИХАЙЛОВИЧ</t>
  </si>
  <si>
    <t>3, 4, 3, 3, 4, 3</t>
  </si>
  <si>
    <t>ТАРЕЛКИН</t>
  </si>
  <si>
    <t>АЛЬБЕРТ</t>
  </si>
  <si>
    <t>НИКОЛАЕВИЧ</t>
  </si>
  <si>
    <t>3, 3, 3, 3, 4, 3</t>
  </si>
  <si>
    <t>ХАМИТ</t>
  </si>
  <si>
    <t>НҰРБОЛАТ</t>
  </si>
  <si>
    <t>МАХМУТҰЛЫ</t>
  </si>
  <si>
    <t>3, 4, 4, 3, 3, 4</t>
  </si>
  <si>
    <t>ЛУТКОВА</t>
  </si>
  <si>
    <t>СОЛОМКА</t>
  </si>
  <si>
    <t>ДАРЬЯ</t>
  </si>
  <si>
    <t>ИВАНОВНА</t>
  </si>
  <si>
    <t>3, 4, 4</t>
  </si>
  <si>
    <t>ТУРЖАНОВА</t>
  </si>
  <si>
    <t>ІНЖУ</t>
  </si>
  <si>
    <t>ЕРМЕКҚЫЗЫ</t>
  </si>
  <si>
    <t>МИТЯКОВА</t>
  </si>
  <si>
    <t>БЕСЕМБЕ</t>
  </si>
  <si>
    <t>ЖАНЕРКЕ</t>
  </si>
  <si>
    <t>ТІЛЕКЖАНҚЫЗЫ</t>
  </si>
  <si>
    <t>АСАНБЕКОВА</t>
  </si>
  <si>
    <t>АЙДАНА</t>
  </si>
  <si>
    <t>АДИЛЕТОВНА</t>
  </si>
  <si>
    <t>НАРИМАНҰЛЫ</t>
  </si>
  <si>
    <t>АСЛАН</t>
  </si>
  <si>
    <t>Г</t>
  </si>
  <si>
    <t>5, 4, 5</t>
  </si>
  <si>
    <t>Олимпиада</t>
  </si>
  <si>
    <t>Предметное</t>
  </si>
  <si>
    <t>2018-10-25T00:00:00</t>
  </si>
  <si>
    <t>КОПТЕВ</t>
  </si>
  <si>
    <t>ВЛАДИСЛАВ</t>
  </si>
  <si>
    <t>3, 4, 3</t>
  </si>
  <si>
    <t>ДАНИЯР</t>
  </si>
  <si>
    <t>3, 4</t>
  </si>
  <si>
    <t>КАРИННА</t>
  </si>
  <si>
    <t>МУХАРАРОВА</t>
  </si>
  <si>
    <t>АДЕМА</t>
  </si>
  <si>
    <t>АСХАТОВНА</t>
  </si>
  <si>
    <t>СКАКОВА</t>
  </si>
  <si>
    <t>ИНАБАТ</t>
  </si>
  <si>
    <t>БОРАНОВНА</t>
  </si>
  <si>
    <t>АРНТ</t>
  </si>
  <si>
    <t>ВИОЛЕТТА</t>
  </si>
  <si>
    <t>5, 5</t>
  </si>
  <si>
    <t>КАЛЬМАН</t>
  </si>
  <si>
    <t>АРТЁМ</t>
  </si>
  <si>
    <t>АНДРЕЕВИЧ</t>
  </si>
  <si>
    <t>КОЛЧАНОВ</t>
  </si>
  <si>
    <t>ЛАНОВАЯ</t>
  </si>
  <si>
    <t>ВЕРОНИКА</t>
  </si>
  <si>
    <t>ДЕНИСОВНА</t>
  </si>
  <si>
    <t>3, 3, 4</t>
  </si>
  <si>
    <t>ОВЦЫНОВА</t>
  </si>
  <si>
    <t>ЮЛИЯ</t>
  </si>
  <si>
    <t>СУВОРОВА</t>
  </si>
  <si>
    <t>СОФЬЯ</t>
  </si>
  <si>
    <t>ШЕПЕЛЕВ</t>
  </si>
  <si>
    <t>КОНСТАНТИН</t>
  </si>
  <si>
    <t>БОРИСОВИЧ</t>
  </si>
  <si>
    <t>ЖАНМҰРАТ</t>
  </si>
  <si>
    <t>АЛУА</t>
  </si>
  <si>
    <t>НҰРЛАНҚЫЗЫ</t>
  </si>
  <si>
    <t>ЖУМАГУЛОВ</t>
  </si>
  <si>
    <t>НУРЖАН</t>
  </si>
  <si>
    <t>ЖАНАТОВИЧ</t>
  </si>
  <si>
    <t>4, 3, 4</t>
  </si>
  <si>
    <t>БУКИН</t>
  </si>
  <si>
    <t>5, 5, 4</t>
  </si>
  <si>
    <t>2022-03-15T00:00:00</t>
  </si>
  <si>
    <t>ГАВРИЛОВ</t>
  </si>
  <si>
    <t>ВАСИЛИЙ</t>
  </si>
  <si>
    <t>ВЯЧЕСЛАВОВИЧ</t>
  </si>
  <si>
    <t>Мордва</t>
  </si>
  <si>
    <t>РАСКАТОВ</t>
  </si>
  <si>
    <t>НАУМОВА</t>
  </si>
  <si>
    <t>ЮРЬЕВНА</t>
  </si>
  <si>
    <t>БУХПАБАЕВ</t>
  </si>
  <si>
    <t>ТАМЫРЛАН</t>
  </si>
  <si>
    <t>АРДАКОВИЧ</t>
  </si>
  <si>
    <t>ИСПАЕВ</t>
  </si>
  <si>
    <t>АСАНАЛИ</t>
  </si>
  <si>
    <t>САМАТОВИЧ</t>
  </si>
  <si>
    <t>Конкурс</t>
  </si>
  <si>
    <t>Научное</t>
  </si>
  <si>
    <t>2019-05-15T00:00:00</t>
  </si>
  <si>
    <t>ЖЕКСЕНБАЕВА</t>
  </si>
  <si>
    <t>ДАЯНА</t>
  </si>
  <si>
    <t>КЕНЕСОВНА</t>
  </si>
  <si>
    <t>МУСИН</t>
  </si>
  <si>
    <t>АЛИМХАН</t>
  </si>
  <si>
    <t>РУСЛАНОВИЧ</t>
  </si>
  <si>
    <t>ЯБЛУНОВСКАЯ</t>
  </si>
  <si>
    <t>ЗЛАТА</t>
  </si>
  <si>
    <t>2022-04-28T00:00:00</t>
  </si>
  <si>
    <t>САЛИХОВА</t>
  </si>
  <si>
    <t>АДЕЛИНА</t>
  </si>
  <si>
    <t>НИКОЛАЕВНА</t>
  </si>
  <si>
    <t>Башкиры</t>
  </si>
  <si>
    <t>АЛТЫНБЕКОВ</t>
  </si>
  <si>
    <t>РАТМИР</t>
  </si>
  <si>
    <t>ДУЛАТОВИЧ</t>
  </si>
  <si>
    <t>Олимпиада , Олимпиада , Конкурс</t>
  </si>
  <si>
    <t>Предметное, Научное, Научное</t>
  </si>
  <si>
    <t>Республиканские, Районные, Районные</t>
  </si>
  <si>
    <t>Грамота,  Грамота, Диплом</t>
  </si>
  <si>
    <t>2018-10-04T00:00:00, 2021-10-20T00:00:00, 2022-01-14T00:00:00</t>
  </si>
  <si>
    <t>БОГАТЫРЕВА</t>
  </si>
  <si>
    <t>РУСЛАНА</t>
  </si>
  <si>
    <t>РУСЛАНОВНА</t>
  </si>
  <si>
    <t>Ингуши</t>
  </si>
  <si>
    <t>ИМАНОВ</t>
  </si>
  <si>
    <t>АБДУЛА</t>
  </si>
  <si>
    <t>НАМИКОГЛЫ</t>
  </si>
  <si>
    <t>ҚАЙДАРБЕК</t>
  </si>
  <si>
    <t>АРЛАН</t>
  </si>
  <si>
    <t>ТАЛҒАТҰЛЫ</t>
  </si>
  <si>
    <t>ШЕРЛЕ</t>
  </si>
  <si>
    <t>ЕВГЕНИЙ</t>
  </si>
  <si>
    <t>НАЗАРОВ</t>
  </si>
  <si>
    <t>ДИАС</t>
  </si>
  <si>
    <t>АРМАНОВИЧ</t>
  </si>
  <si>
    <t>4, 4, 5, 4, 4, 4</t>
  </si>
  <si>
    <t>КУНЕЙ</t>
  </si>
  <si>
    <t>ТИМУР</t>
  </si>
  <si>
    <t>ЛИ</t>
  </si>
  <si>
    <t>ЕЛИСЕЙ</t>
  </si>
  <si>
    <t>ВАДИМОВИЧ</t>
  </si>
  <si>
    <t>3, 3, 3</t>
  </si>
  <si>
    <t>УМИНСКИЙ</t>
  </si>
  <si>
    <t>ВАЛЕРЬЕВИЧ</t>
  </si>
  <si>
    <t>АБАЙДИЛЬДИНОВА</t>
  </si>
  <si>
    <t>ЭЛЬМИРА</t>
  </si>
  <si>
    <t>РУСТАМОВНА</t>
  </si>
  <si>
    <t>МУКАНОВ</t>
  </si>
  <si>
    <t>АРСЕН</t>
  </si>
  <si>
    <t>РУСТЕМОВИЧ</t>
  </si>
  <si>
    <t>КОЗГАНБАЕВА</t>
  </si>
  <si>
    <t>ТАВАТОВА</t>
  </si>
  <si>
    <t>РУСТЕМОВНА</t>
  </si>
  <si>
    <t>ТАРГОНСКИЙ</t>
  </si>
  <si>
    <t>ВЛАДИМИРОВИЧ</t>
  </si>
  <si>
    <t>Белорусы</t>
  </si>
  <si>
    <t>БЕЙСЕНБАЙ</t>
  </si>
  <si>
    <t>БЕРЕКЕ</t>
  </si>
  <si>
    <t>ЕРҒАЛИҰЛЫ</t>
  </si>
  <si>
    <t>Диплом</t>
  </si>
  <si>
    <t>2021-12-08T00:00:00</t>
  </si>
  <si>
    <t>ЗАВАДСКАЯ</t>
  </si>
  <si>
    <t>АРИНА</t>
  </si>
  <si>
    <t>СТАНИСЛАВОВНА</t>
  </si>
  <si>
    <t>Международные</t>
  </si>
  <si>
    <t>ҚАЗБЕКОВА</t>
  </si>
  <si>
    <t>ЛӘЗЗАТ</t>
  </si>
  <si>
    <t>ТОЛЕГЕНҚЫЗЫ</t>
  </si>
  <si>
    <t>КАЗБЕК</t>
  </si>
  <si>
    <t>ЛӘЙЛА</t>
  </si>
  <si>
    <t>УВАХИТ</t>
  </si>
  <si>
    <t>РӘМИНА</t>
  </si>
  <si>
    <t>АСҚАРҚЫЗЫ</t>
  </si>
  <si>
    <t>5, 5, 5, 5, 5, 5</t>
  </si>
  <si>
    <t>КРАВЧЕНКО</t>
  </si>
  <si>
    <t>АНАТОЛЬЕВНА</t>
  </si>
  <si>
    <t>ЗАЙЦЕВ</t>
  </si>
  <si>
    <t>ЯРОСЛАВ</t>
  </si>
  <si>
    <t>ЮРЬЕВИЧ</t>
  </si>
  <si>
    <t>БАТЫРХАНОВ</t>
  </si>
  <si>
    <t>МАНСУРХАН</t>
  </si>
  <si>
    <t>ДАРХАНҰЛЫ</t>
  </si>
  <si>
    <t>3, 3, 4, 3, 4, 4</t>
  </si>
  <si>
    <t>Спартакиада, Спартакиада</t>
  </si>
  <si>
    <t>Спортивное, Спортивное</t>
  </si>
  <si>
    <t>Городские, Городские</t>
  </si>
  <si>
    <t>Диплом, Диплом</t>
  </si>
  <si>
    <t>2022-04-22T00:00:00, 2022-02-08T00:00:00</t>
  </si>
  <si>
    <t>СИДЛЕЦКИЙ</t>
  </si>
  <si>
    <t>СЕРГЕЙ</t>
  </si>
  <si>
    <t>СОН</t>
  </si>
  <si>
    <t>[нарушение речи]</t>
  </si>
  <si>
    <t>АБАЙДИЛЬДИНОВ</t>
  </si>
  <si>
    <t>РУСТАМОВИЧ</t>
  </si>
  <si>
    <t>ОСПАНОВА</t>
  </si>
  <si>
    <t>АЛЬМИРА</t>
  </si>
  <si>
    <t>ЖАНАТОВНА</t>
  </si>
  <si>
    <t>2021-12-20T00:00:00</t>
  </si>
  <si>
    <t>ЕГОР</t>
  </si>
  <si>
    <t>На уровне данной организации</t>
  </si>
  <si>
    <t>2021-09-28T00:00:00</t>
  </si>
  <si>
    <t>ӘДИЯ</t>
  </si>
  <si>
    <t>КЕЛДІБАЙ</t>
  </si>
  <si>
    <t>ҒАНИ</t>
  </si>
  <si>
    <t>КЕНЖЕБАЙҰЛЫ</t>
  </si>
  <si>
    <t>МИКИТЕНКО</t>
  </si>
  <si>
    <t>МАРГАРИТА</t>
  </si>
  <si>
    <t>МАКСИМОВНА</t>
  </si>
  <si>
    <t>СУЙНБАЕВ</t>
  </si>
  <si>
    <t>ДАМИР</t>
  </si>
  <si>
    <t>САНАТОВИЧ</t>
  </si>
  <si>
    <t>[с расстройством эмоционально-волевой сферы и поведения]</t>
  </si>
  <si>
    <t>ҚАБДЫБЕК</t>
  </si>
  <si>
    <t>САНЖАР</t>
  </si>
  <si>
    <t>ҚУАНДЫҚҰЛЫ</t>
  </si>
  <si>
    <t>ЕМЕЛЬЯНЕНКО</t>
  </si>
  <si>
    <t>4, 5</t>
  </si>
  <si>
    <t>БУШ</t>
  </si>
  <si>
    <t>НИКОЛАЙ</t>
  </si>
  <si>
    <t>ЕЛЕУХАН</t>
  </si>
  <si>
    <t>ЕРНАР</t>
  </si>
  <si>
    <t>САКТАПБЕРГЕНҰЛЫ</t>
  </si>
  <si>
    <t>КАЗЕЕВ</t>
  </si>
  <si>
    <t>БОГДАН</t>
  </si>
  <si>
    <t>ВИКТОРОВИЧ</t>
  </si>
  <si>
    <t>НАСТАСЬЯ</t>
  </si>
  <si>
    <t>ВАДИМОВНА</t>
  </si>
  <si>
    <t>ФИЛИППОВ</t>
  </si>
  <si>
    <t>МАКСИМ</t>
  </si>
  <si>
    <t>САПУНКОВ</t>
  </si>
  <si>
    <t>ОЛЕГОВИЧ</t>
  </si>
  <si>
    <t>СЕВОСТЬЯНОВА</t>
  </si>
  <si>
    <t>СВЕТЛАНА</t>
  </si>
  <si>
    <t>4, 5, 5</t>
  </si>
  <si>
    <t>ДЕНИС</t>
  </si>
  <si>
    <t>ВОРОНИЦКАЯ</t>
  </si>
  <si>
    <t>ВОРОНИЦКИЙ</t>
  </si>
  <si>
    <t>МИХЕЛЬ</t>
  </si>
  <si>
    <t>САЛАМАТИН</t>
  </si>
  <si>
    <t>АЙСАНА</t>
  </si>
  <si>
    <t>3 класс</t>
  </si>
  <si>
    <t>2021-12-23T00:00:00</t>
  </si>
  <si>
    <t>АНАНЕВИЧ</t>
  </si>
  <si>
    <t>4, 4, 4, 3, 3, 4</t>
  </si>
  <si>
    <t>ГОЛОВНЯ</t>
  </si>
  <si>
    <t>ЕЛИЗАВЕТА</t>
  </si>
  <si>
    <t>БАТЫЙ</t>
  </si>
  <si>
    <t>ОЛЖАСҰЛЫ</t>
  </si>
  <si>
    <t>Информатика, Математика, Физика, Химия, Биология, География</t>
  </si>
  <si>
    <t>5, 4, 4, 4, 4, 5</t>
  </si>
  <si>
    <t>ГОЛОВАЦКИЙ</t>
  </si>
  <si>
    <t>АХМЕДОВИЧ</t>
  </si>
  <si>
    <t>[охвачен(-а) бесплатным горячим питанием, охвачен(-а) горячим питанием]</t>
  </si>
  <si>
    <t>ГЛУШКА</t>
  </si>
  <si>
    <t>ГАНТИМУРОВА</t>
  </si>
  <si>
    <t>МАЛИКА</t>
  </si>
  <si>
    <t>ТАМЕРЛАНОВНА</t>
  </si>
  <si>
    <t>АКИМБАЕВА</t>
  </si>
  <si>
    <t>АРУЖАН</t>
  </si>
  <si>
    <t>БАУЫРЖАНОВНА</t>
  </si>
  <si>
    <t>ТУРСУНОВ</t>
  </si>
  <si>
    <t>ДИЯР</t>
  </si>
  <si>
    <t>АДИЛЖАНОВИЧ</t>
  </si>
  <si>
    <t>Уйгуры</t>
  </si>
  <si>
    <t>МИЛАНА</t>
  </si>
  <si>
    <t>Олимпиада , Олимпиада , Олимпиада</t>
  </si>
  <si>
    <t>Предметное, Предметное, Предметное</t>
  </si>
  <si>
    <t>Республиканские, Республиканские, Районные</t>
  </si>
  <si>
    <t>Грамота,  Грамота,  Грамота</t>
  </si>
  <si>
    <t>2018-10-25T00:00:00, 2022-04-28T00:00:00, 2022-03-15T00:00:00</t>
  </si>
  <si>
    <t>САЙЛАУБЕК</t>
  </si>
  <si>
    <t>АЙЫМ</t>
  </si>
  <si>
    <t>НУРБОЛҚЫЗЫ</t>
  </si>
  <si>
    <t>МУСАЕВА</t>
  </si>
  <si>
    <t>ГАРУНОВНА</t>
  </si>
  <si>
    <t>Чеченцы</t>
  </si>
  <si>
    <t>УТАРБАЕВА</t>
  </si>
  <si>
    <t>ГАЛИМОВ</t>
  </si>
  <si>
    <t>АЛИМ</t>
  </si>
  <si>
    <t>КУКУРУЗА</t>
  </si>
  <si>
    <t>ЯКОВЕНКО</t>
  </si>
  <si>
    <t>КСЕНИЯ</t>
  </si>
  <si>
    <t>ЯБЛУНОВСКИЙ</t>
  </si>
  <si>
    <t>ИГНАТ</t>
  </si>
  <si>
    <t>НОГАЙБАЕВА</t>
  </si>
  <si>
    <t>ИЛЬНАЗ</t>
  </si>
  <si>
    <t>МУРАТБЕКОВНА</t>
  </si>
  <si>
    <t>СКОРИКОВ</t>
  </si>
  <si>
    <t>ИЛЬЯ</t>
  </si>
  <si>
    <t>МЕИРБЕКОВА</t>
  </si>
  <si>
    <t>БАХТИЯРОВНА</t>
  </si>
  <si>
    <t>ОГОРОДНИКОВА</t>
  </si>
  <si>
    <t>МАРИЯ</t>
  </si>
  <si>
    <t>САЕНКО</t>
  </si>
  <si>
    <t>ВАРВАРА</t>
  </si>
  <si>
    <t>ВЯЧЕСЛАВОВНА</t>
  </si>
  <si>
    <t>БАСЕНКО</t>
  </si>
  <si>
    <t>обеспечен другой школой</t>
  </si>
  <si>
    <t>МИХАЙДАРОВ</t>
  </si>
  <si>
    <t>РИНАТ</t>
  </si>
  <si>
    <t>АБАЕВИЧ</t>
  </si>
  <si>
    <t>ФЕРДЕРЕР</t>
  </si>
  <si>
    <t>Естествознание, Математика</t>
  </si>
  <si>
    <t>АСЕТ</t>
  </si>
  <si>
    <t>АЛИМЖАНОВА</t>
  </si>
  <si>
    <t>АЙЗЕРЕ</t>
  </si>
  <si>
    <t>ЕРКІНҚЫЗЫ</t>
  </si>
  <si>
    <t>ГЕЙН</t>
  </si>
  <si>
    <t>ГУНДАРЕВ</t>
  </si>
  <si>
    <t>ДЮСЕКЕЕВ</t>
  </si>
  <si>
    <t>АЛЬТАИР</t>
  </si>
  <si>
    <t>АЗАМАТОВИЧ</t>
  </si>
  <si>
    <t>БЕДРИКОВ</t>
  </si>
  <si>
    <t>УАЛЬБЕКОВ</t>
  </si>
  <si>
    <t>ДАНИЭЛЬ</t>
  </si>
  <si>
    <t>БАШКАТОВ</t>
  </si>
  <si>
    <t>ДАВИД</t>
  </si>
  <si>
    <t>НҰРЛАН</t>
  </si>
  <si>
    <t>АЛИМА</t>
  </si>
  <si>
    <t>НҰРБОЛҚЫЗЫ</t>
  </si>
  <si>
    <t>Грамота, Серебряная медаль</t>
  </si>
  <si>
    <t>2022-01-13T00:00:00, 2021-10-12T00:00:00</t>
  </si>
  <si>
    <t>БУЯКОВА</t>
  </si>
  <si>
    <t>АКСИНЬЯ</t>
  </si>
  <si>
    <t>ШВЕЦ</t>
  </si>
  <si>
    <t>УКРАИНА</t>
  </si>
  <si>
    <t>ТИТОВ</t>
  </si>
  <si>
    <t>ЛЕОНИДОВИЧ</t>
  </si>
  <si>
    <t>ҚАСЫМ</t>
  </si>
  <si>
    <t>АМИРА</t>
  </si>
  <si>
    <t>БАЛҒЫНҚЫЗЫ</t>
  </si>
  <si>
    <t>СҰЛТАН</t>
  </si>
  <si>
    <t>ХАЛИД</t>
  </si>
  <si>
    <t>ӘДІЛБЕКҰЛЫ</t>
  </si>
  <si>
    <t>РАМАЗАН</t>
  </si>
  <si>
    <t>ТАГИР</t>
  </si>
  <si>
    <t>БАХТИЯРҰЛЫ</t>
  </si>
  <si>
    <t>АБАНОВА</t>
  </si>
  <si>
    <t>АДИЯ</t>
  </si>
  <si>
    <t>АЗАМАТОВНА</t>
  </si>
  <si>
    <t>Конкурс, Конкурс</t>
  </si>
  <si>
    <t>Международные, Международные</t>
  </si>
  <si>
    <t>2021-11-18T00:00:00, 2021-09-16T00:00:00</t>
  </si>
  <si>
    <t>КУЦЕНКО</t>
  </si>
  <si>
    <t>АРТУР</t>
  </si>
  <si>
    <t>МАКСИМОВИЧ</t>
  </si>
  <si>
    <t>КОПТЕВА</t>
  </si>
  <si>
    <t>ТАИСИЯ</t>
  </si>
  <si>
    <t>УЛЬЯНА</t>
  </si>
  <si>
    <t>АЙТАНОВНА</t>
  </si>
  <si>
    <t>ГАБЗАЛИЛОВА</t>
  </si>
  <si>
    <t>ЮЛАМАНОВ</t>
  </si>
  <si>
    <t>РАФАЭЛЬ</t>
  </si>
  <si>
    <t>2019-04-20T00:00:00</t>
  </si>
  <si>
    <t>ТЛЕУОВА</t>
  </si>
  <si>
    <t>ДИАНА</t>
  </si>
  <si>
    <t>70-84</t>
  </si>
  <si>
    <t>МАЦКЕВИЧ</t>
  </si>
  <si>
    <t>ВАЛЕРЬЕВНА</t>
  </si>
  <si>
    <t>2021-10-20T00:00:00</t>
  </si>
  <si>
    <t>МИКУШИНА</t>
  </si>
  <si>
    <t>ГАБЗАЛИЛОВ</t>
  </si>
  <si>
    <t>РАМИЛЬ</t>
  </si>
  <si>
    <t>ХАСЕНОВА</t>
  </si>
  <si>
    <t>ФЕРОЗА</t>
  </si>
  <si>
    <t>ИКРАМОВНА</t>
  </si>
  <si>
    <t>ЛУЗАНОВ</t>
  </si>
  <si>
    <t>ИГОРЕВИЧ</t>
  </si>
  <si>
    <t>ГЕНИНГ</t>
  </si>
  <si>
    <t>СНЕЖАНА</t>
  </si>
  <si>
    <t>другие гуманитарные</t>
  </si>
  <si>
    <t>ВЕЛИЧЕНКО</t>
  </si>
  <si>
    <t>ОГОРОДНИКОВ</t>
  </si>
  <si>
    <t>АНТОНОВИЧ</t>
  </si>
  <si>
    <t>ВИКТОР</t>
  </si>
  <si>
    <t>РАМАЗАНҚЫЗЫ</t>
  </si>
  <si>
    <t>МЕРЕЙ</t>
  </si>
  <si>
    <t>ИВАН</t>
  </si>
  <si>
    <t>УТЕЛЬБАЕВ</t>
  </si>
  <si>
    <t>АЛПАМЫС</t>
  </si>
  <si>
    <t>ТАЛГАТУЛЫ</t>
  </si>
  <si>
    <t>3, 4, 3, 4, 3, 4</t>
  </si>
  <si>
    <t>ЯКУНЕНКО</t>
  </si>
  <si>
    <t>ТЕМИРЛАН</t>
  </si>
  <si>
    <t>ТӨЛЕГЕН</t>
  </si>
  <si>
    <t>ӘЛІБИ</t>
  </si>
  <si>
    <t>МЕДЕТҰЛЫ</t>
  </si>
  <si>
    <t>АКИМБАЕВ</t>
  </si>
  <si>
    <t>САБЫРЖАН</t>
  </si>
  <si>
    <t>БАУЫРЖАНОВИЧ</t>
  </si>
  <si>
    <t>АМАНГЕЛДІ</t>
  </si>
  <si>
    <t>АЙБАР</t>
  </si>
  <si>
    <t>ҚАЙРАТҰЛЫ</t>
  </si>
  <si>
    <t>4, 3</t>
  </si>
  <si>
    <t>САЙДИКАРИМОВ</t>
  </si>
  <si>
    <t>РУСТАМ</t>
  </si>
  <si>
    <t>БАХРАМОВИЧ</t>
  </si>
  <si>
    <t>Узбеки</t>
  </si>
  <si>
    <t>ЖУМАГАЗИН</t>
  </si>
  <si>
    <t>КАЙРАТОВИЧ</t>
  </si>
  <si>
    <t>РОССИЯ</t>
  </si>
  <si>
    <t>РАСУЛОВ</t>
  </si>
  <si>
    <t>РАУФ</t>
  </si>
  <si>
    <t>ТОФИГОГЛЫ</t>
  </si>
  <si>
    <t>РАКИШЕВ</t>
  </si>
  <si>
    <t>АЛИЯР</t>
  </si>
  <si>
    <t>КАБДЫМАЖИТОВИЧ</t>
  </si>
  <si>
    <t>ЖУМАТАЕВА</t>
  </si>
  <si>
    <t>АЙГЕРИМ</t>
  </si>
  <si>
    <t>ЭМ</t>
  </si>
  <si>
    <t>ИГОРЬЕВИЧ</t>
  </si>
  <si>
    <t>НИКИФОРОВИЧ</t>
  </si>
  <si>
    <t>КУЧУРКА</t>
  </si>
  <si>
    <t>ГАВРИЛЮК</t>
  </si>
  <si>
    <t>ШРАМЕНКО</t>
  </si>
  <si>
    <t>ЧЕРНЯК</t>
  </si>
  <si>
    <t>АРСЕНИЙ</t>
  </si>
  <si>
    <t>ВИТАЛЬЕВИЧ</t>
  </si>
  <si>
    <t>ТОНКИХ</t>
  </si>
  <si>
    <t>АЛЕКСАНДР</t>
  </si>
  <si>
    <t>ИЛЯСОВ</t>
  </si>
  <si>
    <t>ЕРЖАН</t>
  </si>
  <si>
    <t>СҰЛТАНБЕЙБАРЫС</t>
  </si>
  <si>
    <t>НҰРКЕНҰЛЫ</t>
  </si>
  <si>
    <t>СТРУМИНСКАЯ</t>
  </si>
  <si>
    <t>ДОМИНИКА</t>
  </si>
  <si>
    <t>АЙТУАР</t>
  </si>
  <si>
    <t>СИВОКОБЫЛЬСКИЙ</t>
  </si>
  <si>
    <t>ОЛАРУ</t>
  </si>
  <si>
    <t>РОДИОН</t>
  </si>
  <si>
    <t>ГЕННАДЬЕВИЧ</t>
  </si>
  <si>
    <t>Молдаване</t>
  </si>
  <si>
    <t>ДОЛГАНОВА</t>
  </si>
  <si>
    <t>МАМАТОВ</t>
  </si>
  <si>
    <t>ИБРАГИМ</t>
  </si>
  <si>
    <t>АЛИХАНОВИЧ</t>
  </si>
  <si>
    <t>не имеется</t>
  </si>
  <si>
    <t>КАВЕЦКАЯ</t>
  </si>
  <si>
    <t>РОМОДАНОВ</t>
  </si>
  <si>
    <t>РОМАНОВИЧ</t>
  </si>
  <si>
    <t>2 класс</t>
  </si>
  <si>
    <t>НЕЧЕПУРЕНКО</t>
  </si>
  <si>
    <t>ЧЕКМАРЕВ</t>
  </si>
  <si>
    <t>ДЖАМАЛОВА</t>
  </si>
  <si>
    <t>АЙЛАНА</t>
  </si>
  <si>
    <t>ИСХАЖИҚЫЗЫ</t>
  </si>
  <si>
    <t>КОЙДАН</t>
  </si>
  <si>
    <t>ИСМАИЛ</t>
  </si>
  <si>
    <t>ОЛЕШКЕВИЧ</t>
  </si>
  <si>
    <t>КИРА</t>
  </si>
  <si>
    <t>УТЕЛЬБАЕВА</t>
  </si>
  <si>
    <t>АЙСУЛУ</t>
  </si>
  <si>
    <t>ТАЛГАТКЫЗЫ</t>
  </si>
  <si>
    <t>ШЕПЕЛЕВА</t>
  </si>
  <si>
    <t>ЦУЛАДЗЕ</t>
  </si>
  <si>
    <t>ВАЛЕНТИНОВНА</t>
  </si>
  <si>
    <t>ИГЕМБАЕВ</t>
  </si>
  <si>
    <t>РАХИМБАЕВИЧ</t>
  </si>
  <si>
    <t>САДЫРИН</t>
  </si>
  <si>
    <t>РУСЛАН</t>
  </si>
  <si>
    <t>другой области</t>
  </si>
  <si>
    <t>СПИРИДОНОВ</t>
  </si>
  <si>
    <t>2022-04-05T00:00:00</t>
  </si>
  <si>
    <t>КАМЕНСКАЯ</t>
  </si>
  <si>
    <t>ВИТАЛЬЕВНА</t>
  </si>
  <si>
    <t>Творческое</t>
  </si>
  <si>
    <t>2022-05-12T00:00:00</t>
  </si>
  <si>
    <t>НАРИМАНОВ</t>
  </si>
  <si>
    <t>КАЗАНЦЕВА</t>
  </si>
  <si>
    <t>ЭВЕЛИНА</t>
  </si>
  <si>
    <t>2021-11-18T00:00:00</t>
  </si>
  <si>
    <t>АУБАКИРОВ</t>
  </si>
  <si>
    <t>ТАМЕРЛАН</t>
  </si>
  <si>
    <t>ЖАМБЫЛОВИЧ</t>
  </si>
  <si>
    <t>3, 4, 4, 3, 4, 3</t>
  </si>
  <si>
    <t>ЕЛІМҚЫЗЫ</t>
  </si>
  <si>
    <t>МОНАСТЫРЕВА</t>
  </si>
  <si>
    <t>Олимпиада , Конкурс</t>
  </si>
  <si>
    <t>2022-01-13T00:00:00, 2021-11-18T00:00:00</t>
  </si>
  <si>
    <t>ЛАНТРАТОВ</t>
  </si>
  <si>
    <t>АМИР</t>
  </si>
  <si>
    <t>МУХАЧЕВА</t>
  </si>
  <si>
    <t>ЛЕЙЛА</t>
  </si>
  <si>
    <t>БАННИКОВ</t>
  </si>
  <si>
    <t>НИКИФОРОВ</t>
  </si>
  <si>
    <t>МИЛЛЕР</t>
  </si>
  <si>
    <t>ПЛАТОН</t>
  </si>
  <si>
    <t>ШУТЬКОВА</t>
  </si>
  <si>
    <t>РЫСПАЕВА</t>
  </si>
  <si>
    <t>ТАМИРИС</t>
  </si>
  <si>
    <t>КУАНЫШЕВНА</t>
  </si>
  <si>
    <t>ГАЗДИЕВА</t>
  </si>
  <si>
    <t>ЛИАНА</t>
  </si>
  <si>
    <t>ХАМЗАТОВНА</t>
  </si>
  <si>
    <t>ИЛЬИН</t>
  </si>
  <si>
    <t>САВЕЛИЙ</t>
  </si>
  <si>
    <t>КАРДАПОЛОВ</t>
  </si>
  <si>
    <t>ЯКОВЛЕВИЧ</t>
  </si>
  <si>
    <t>ҚҰРМАНБЕК</t>
  </si>
  <si>
    <t>МУСЛИМ</t>
  </si>
  <si>
    <t>АМИНА</t>
  </si>
  <si>
    <t>ДАУРЕНБЕКҚЫЗЫ</t>
  </si>
  <si>
    <t>РОГОВОЙ</t>
  </si>
  <si>
    <t>СЕЙФУЛЛИНА</t>
  </si>
  <si>
    <t>ДАМИРА</t>
  </si>
  <si>
    <t>ЕРИКОВНА</t>
  </si>
  <si>
    <t>ЯГАНОВА</t>
  </si>
  <si>
    <t>ВИКТОРИЯ</t>
  </si>
  <si>
    <t>ВЕНЕРА</t>
  </si>
  <si>
    <t>ЯШИНА</t>
  </si>
  <si>
    <t>НУРМАГАМБЕТОВ</t>
  </si>
  <si>
    <t>АМАНИЯЗ</t>
  </si>
  <si>
    <t>АНУАРБЕКУЛЫ</t>
  </si>
  <si>
    <t>ЮРИЙ</t>
  </si>
  <si>
    <t>ВЯЧЕСЛАВ</t>
  </si>
  <si>
    <t>БАХТЫБАЙ</t>
  </si>
  <si>
    <t>ЕРЛАНҚЫЗЫ</t>
  </si>
  <si>
    <t>ИСКАКОВА</t>
  </si>
  <si>
    <t>АМАНТАЕВНА</t>
  </si>
  <si>
    <t>3, 5, 4</t>
  </si>
  <si>
    <t>УМИНСКАЯ</t>
  </si>
  <si>
    <t>ПОЛИНА</t>
  </si>
  <si>
    <t>СЕМКА</t>
  </si>
  <si>
    <t>ЛИСИНА</t>
  </si>
  <si>
    <t>1 класс</t>
  </si>
  <si>
    <t>0 - не проставляют</t>
  </si>
  <si>
    <t>АСАНБЕКОВ</t>
  </si>
  <si>
    <t>АЛЕН</t>
  </si>
  <si>
    <t>АДИЛЕТОВИЧ</t>
  </si>
  <si>
    <t>2022-03-18T00:00:00</t>
  </si>
  <si>
    <t>БОРИСЕНКО</t>
  </si>
  <si>
    <t>ЕВАНГЕЛИНА</t>
  </si>
  <si>
    <t>ИСАЕВ</t>
  </si>
  <si>
    <t>АЛИПАША</t>
  </si>
  <si>
    <t>БАТТАЛИЕВИЧ</t>
  </si>
  <si>
    <t>КАВЕЦКИЙ</t>
  </si>
  <si>
    <t>ФИЛИПП</t>
  </si>
  <si>
    <t>ВАСИЛЕНКО</t>
  </si>
  <si>
    <t>АНДРЕЙ</t>
  </si>
  <si>
    <t>НЕПОМНЯЩЕВ</t>
  </si>
  <si>
    <t>ЖУМАГАЗИНА</t>
  </si>
  <si>
    <t>ДАРИНА</t>
  </si>
  <si>
    <t>КАЙРАТОВНА</t>
  </si>
  <si>
    <t>КАИРГЕЛДІ</t>
  </si>
  <si>
    <t>НҰРДИ</t>
  </si>
  <si>
    <t>ЖАСҰЛАНҰЛЫ</t>
  </si>
  <si>
    <t>КУСНИДИНОВ</t>
  </si>
  <si>
    <t>АСКАРОВИЧ</t>
  </si>
  <si>
    <t>ПАВЛОВ</t>
  </si>
  <si>
    <t>2022-01-13T00:00:00</t>
  </si>
  <si>
    <t>СЕРГИЕНКО</t>
  </si>
  <si>
    <t>ТУРЖАНОВ</t>
  </si>
  <si>
    <t>ЕРМЕКҰЛЫ</t>
  </si>
  <si>
    <t>УЛЬЧЕНКО</t>
  </si>
  <si>
    <t>ВАСИЛИСА</t>
  </si>
  <si>
    <t>МУСАЙБЕКОВА</t>
  </si>
  <si>
    <t>МЕЙРАНОВНА</t>
  </si>
  <si>
    <t>МАРАТ</t>
  </si>
  <si>
    <t>ИСЛАМ</t>
  </si>
  <si>
    <t>РЕНАТҰЛЫ</t>
  </si>
  <si>
    <t>ГОРБ</t>
  </si>
  <si>
    <t>ЕСЕНИЯ</t>
  </si>
  <si>
    <t>МАЛЫШЕВ</t>
  </si>
  <si>
    <t>МАТВЕЙ</t>
  </si>
  <si>
    <t>АРЕПЬЕВА</t>
  </si>
  <si>
    <t>ПАВЛЕНКО</t>
  </si>
  <si>
    <t>БЕКТАС</t>
  </si>
  <si>
    <t>ХАДЖИ  МУРАТ</t>
  </si>
  <si>
    <t>АНУАРҰЛЫ</t>
  </si>
  <si>
    <t>ГУНДАРЕВА</t>
  </si>
  <si>
    <t>ВЕРШИНИН</t>
  </si>
  <si>
    <t>ЕЛЕУСИЗОВ</t>
  </si>
  <si>
    <t>СЕРИКОВИЧ</t>
  </si>
  <si>
    <t>Естествознание, Математика, Информатика</t>
  </si>
  <si>
    <t>ПОПОВА</t>
  </si>
  <si>
    <t>100-114</t>
  </si>
  <si>
    <t>ЛЮБИНА</t>
  </si>
  <si>
    <t>ЗАВОЗИН</t>
  </si>
  <si>
    <t>ЛЕБЕДЕВА</t>
  </si>
  <si>
    <t>ЕВА</t>
  </si>
  <si>
    <t>ЧУГАЛАЕВА</t>
  </si>
  <si>
    <t>ШИЛЕНКО</t>
  </si>
  <si>
    <t>2021-12-23T00:00:00, 2021-12-23T00:00:00</t>
  </si>
  <si>
    <t>БОГАТЫРЕВ</t>
  </si>
  <si>
    <t>ХАСЕНОВ</t>
  </si>
  <si>
    <t>МАМУТ</t>
  </si>
  <si>
    <t>ИКРАМОВИЧ</t>
  </si>
  <si>
    <t>НИКОЛАЕВ</t>
  </si>
  <si>
    <t>СИДОР</t>
  </si>
  <si>
    <t>ЗАЙКЕНОВА</t>
  </si>
  <si>
    <t>ТЕРЁШКИНА</t>
  </si>
  <si>
    <t>КАРИНА</t>
  </si>
  <si>
    <t>КОМАРОВСКИЙ</t>
  </si>
  <si>
    <t>МИРОСЛАВ</t>
  </si>
  <si>
    <t>ЗАВГОРОДНЯЯ</t>
  </si>
  <si>
    <t>ЛДЕТАЕВА</t>
  </si>
  <si>
    <t>ДАРИЯ</t>
  </si>
  <si>
    <t>АРДАКОВНА</t>
  </si>
  <si>
    <t>ЗАВОЗИНА</t>
  </si>
  <si>
    <t>ЧЕДЫРБАЕВА</t>
  </si>
  <si>
    <t>АЙСҰЛУ</t>
  </si>
  <si>
    <t>МУРАТҚЫЗЫ</t>
  </si>
  <si>
    <t>ИСАЕВА</t>
  </si>
  <si>
    <t>АРАЙЛЫМ</t>
  </si>
  <si>
    <t>ҰЛАНҚЫЗЫ</t>
  </si>
  <si>
    <t>АНАРБАЙ</t>
  </si>
  <si>
    <t>ЕЛДАНА</t>
  </si>
  <si>
    <t>ЕРЖАНҚЫЗЫ</t>
  </si>
  <si>
    <t>ВАСЮТИНА</t>
  </si>
  <si>
    <t>АНДРОМЕДА</t>
  </si>
  <si>
    <t>НИКИТИНА</t>
  </si>
  <si>
    <t>ТАРАСОВНА</t>
  </si>
  <si>
    <t>ЖЕТПІСБАЙ</t>
  </si>
  <si>
    <t>ЕЛНҰР</t>
  </si>
  <si>
    <t>ЕРБОЛҰЛЫ</t>
  </si>
  <si>
    <t>НҰРҰМТАЙ</t>
  </si>
  <si>
    <t>БЕКЖАН</t>
  </si>
  <si>
    <t>ЕРКІНҰЛЫ</t>
  </si>
  <si>
    <t>СУЛЕЙМЕНОВ</t>
  </si>
  <si>
    <t>ӘДІЛЕТ</t>
  </si>
  <si>
    <t>ДИДАРОВИЧ</t>
  </si>
  <si>
    <t>[самостоятельно добирается в школу]</t>
  </si>
  <si>
    <t>ЧАСОВСКИХ</t>
  </si>
  <si>
    <t>Предметное, Творческое</t>
  </si>
  <si>
    <t>2021-11-18T00:00:00, 2021-09-23T00:00:00</t>
  </si>
  <si>
    <t>БАННИКОВА</t>
  </si>
  <si>
    <t>ГАФИЯТУЛЛИН</t>
  </si>
  <si>
    <t>АМИРОВИЧ</t>
  </si>
  <si>
    <t>МАЙЕР</t>
  </si>
  <si>
    <t>ВАЛЕРИЯ</t>
  </si>
  <si>
    <t>КИЛЕБАЕВА</t>
  </si>
  <si>
    <t>ТОМИРИС</t>
  </si>
  <si>
    <t>ЖАНИБЕКОВНА</t>
  </si>
  <si>
    <t>НҰРДИН</t>
  </si>
  <si>
    <t>ЕРЛАНҰЛЫ</t>
  </si>
  <si>
    <t>ОГНЕВСКАЯ</t>
  </si>
  <si>
    <t>ИГОРЕВНА</t>
  </si>
  <si>
    <t>БАЙКОВА</t>
  </si>
  <si>
    <t>ЗИКЕН</t>
  </si>
  <si>
    <t>СУЛТАН</t>
  </si>
  <si>
    <t>АЛПАМЫСҰЛЫ</t>
  </si>
  <si>
    <t>2022-02-08T00:00:00</t>
  </si>
  <si>
    <t>АХМЕТ</t>
  </si>
  <si>
    <t>ШОНАЛИ</t>
  </si>
  <si>
    <t>ДОСЫМҰЛЫ</t>
  </si>
  <si>
    <t>РАДИОН</t>
  </si>
  <si>
    <t>Проект, Спартакиада</t>
  </si>
  <si>
    <t>Научное, Спортивное</t>
  </si>
  <si>
    <t>Международные, Городские</t>
  </si>
  <si>
    <t>2022-03-11T00:00:00, 2022-05-21T00:00:00</t>
  </si>
  <si>
    <t>АЗЯБИН</t>
  </si>
  <si>
    <t>БУКИНА</t>
  </si>
  <si>
    <t>ОМАРОВА</t>
  </si>
  <si>
    <t>РИЗА</t>
  </si>
  <si>
    <t>АКАЕВА</t>
  </si>
  <si>
    <t>ЭЛИНА</t>
  </si>
  <si>
    <t>Проект</t>
  </si>
  <si>
    <t>2022-04-19T00:00:00</t>
  </si>
  <si>
    <t>БОГАТЫРЁВ</t>
  </si>
  <si>
    <t>АЛИМУРАТ</t>
  </si>
  <si>
    <t>БАШИРОВИЧ</t>
  </si>
  <si>
    <t>ҚАНАТҚАН</t>
  </si>
  <si>
    <t>ЖАН</t>
  </si>
  <si>
    <t>БАУРЖАНҰЛЫ</t>
  </si>
  <si>
    <t>Другое</t>
  </si>
  <si>
    <t>Городские</t>
  </si>
  <si>
    <t>2019-01-24T00:00:00</t>
  </si>
  <si>
    <t>БОРАНБАЙ</t>
  </si>
  <si>
    <t>МИРАС</t>
  </si>
  <si>
    <t>ГОРДИЕНКО</t>
  </si>
  <si>
    <t>ЖИЛКИБАЕВ</t>
  </si>
  <si>
    <t>МЕРЗАХОВИЧ</t>
  </si>
  <si>
    <t>ШВАБАУЭР</t>
  </si>
  <si>
    <t>ТАМИЛА</t>
  </si>
  <si>
    <t>АРЕПЬЕВ</t>
  </si>
  <si>
    <t>ГУЛЬСУРИ</t>
  </si>
  <si>
    <t>ТАРАНЕНКО</t>
  </si>
  <si>
    <t>ШАРАНОВА</t>
  </si>
  <si>
    <t>ЩУКИН</t>
  </si>
  <si>
    <t>МАУЛЕТБЕК</t>
  </si>
  <si>
    <t>ЖАНСҰЛТАН</t>
  </si>
  <si>
    <t>ҒАЙНИҰЛЫ</t>
  </si>
  <si>
    <t>КОВЯЗИНА</t>
  </si>
  <si>
    <t>ЮНУСОВА</t>
  </si>
  <si>
    <t>СОФИЯ</t>
  </si>
  <si>
    <t>РЕЗВАНОВНА</t>
  </si>
  <si>
    <t>ЛЕДОВСКИХ</t>
  </si>
  <si>
    <t>МЫЛТЫКБАЕВА</t>
  </si>
  <si>
    <t>АЛТЫНХАН</t>
  </si>
  <si>
    <t>САРДАР</t>
  </si>
  <si>
    <t>АСҚАРҰЛЫ</t>
  </si>
  <si>
    <t>ГАЗДИЕВ</t>
  </si>
  <si>
    <t>МАГОМЕД</t>
  </si>
  <si>
    <t>МУСЛИМОВИЧ</t>
  </si>
  <si>
    <t>ХОЖАМЕРДИЕВА</t>
  </si>
  <si>
    <t>ФАРИДА</t>
  </si>
  <si>
    <t>ШАРИФОВНА</t>
  </si>
  <si>
    <t>ӘМІРСҰЛТАН</t>
  </si>
  <si>
    <t>ЕРЖАНҰЛЫ</t>
  </si>
  <si>
    <t>ТАИРОВ</t>
  </si>
  <si>
    <t>РУСЛАНОГЛЫ</t>
  </si>
  <si>
    <t>ВАСЮТИН</t>
  </si>
  <si>
    <t>ЛЕОНИД</t>
  </si>
  <si>
    <t>ЕВГЕНИЕВИЧ</t>
  </si>
  <si>
    <t>2022-03-23T00:00:00</t>
  </si>
  <si>
    <t>ГЮНАЙ</t>
  </si>
  <si>
    <t>БАТТАЛИЕВНА</t>
  </si>
  <si>
    <t>ШАГИРОВ</t>
  </si>
  <si>
    <t>ТАМИРЛАН</t>
  </si>
  <si>
    <t>БЕЛЬГИБАЕВ</t>
  </si>
  <si>
    <t>МАХМЕТОВИЧ</t>
  </si>
  <si>
    <t>КЕНЖЕБАЕВА</t>
  </si>
  <si>
    <t>ЖАНСАЯ</t>
  </si>
  <si>
    <t>НУРЛАНОВНА</t>
  </si>
  <si>
    <t>МЕДИНА</t>
  </si>
  <si>
    <t>АРМАНОВНА</t>
  </si>
  <si>
    <t>ҚҰСМАНОВА</t>
  </si>
  <si>
    <t>КАМИЛА</t>
  </si>
  <si>
    <t>СЕРІКҚЫЗЫ</t>
  </si>
  <si>
    <t>ЛЕППЕРТ</t>
  </si>
  <si>
    <t>ДЖАКУПОВА</t>
  </si>
  <si>
    <t>СМОЛИЙ</t>
  </si>
  <si>
    <t>САМАТ</t>
  </si>
  <si>
    <t>ЖІБЕК</t>
  </si>
  <si>
    <t>ОРЫНБАСАРҚЫЗЫ</t>
  </si>
  <si>
    <t>ПЛАТОВА</t>
  </si>
  <si>
    <t>МАСАЛИМОВ</t>
  </si>
  <si>
    <t>ЕРЛАНОВИЧ</t>
  </si>
  <si>
    <t>НҰРБАЙ</t>
  </si>
  <si>
    <t>ДОСЖАН</t>
  </si>
  <si>
    <t>АМАНГЕЛДІҰЛЫ</t>
  </si>
  <si>
    <t>2019-11-14T00:00:00</t>
  </si>
  <si>
    <t>УМБЕТОВА</t>
  </si>
  <si>
    <t>НУРБЕКОВНА</t>
  </si>
  <si>
    <t>ШЛЫКОВ</t>
  </si>
  <si>
    <t>ПОПКОВ</t>
  </si>
  <si>
    <t>МАРК</t>
  </si>
  <si>
    <t>САДЫРИНА</t>
  </si>
  <si>
    <t>3, 3, 4, 3, 3, 4</t>
  </si>
  <si>
    <t>МАМЕДОВ</t>
  </si>
  <si>
    <t>АМИЛ</t>
  </si>
  <si>
    <t>КИРИЛЛОВИЧ</t>
  </si>
  <si>
    <t>ЖАСМИН</t>
  </si>
  <si>
    <t>МУСЛИМОВНА</t>
  </si>
  <si>
    <t>ВЛАСОВА</t>
  </si>
  <si>
    <t>ПАЗУХИН</t>
  </si>
  <si>
    <t>ДЕМИД</t>
  </si>
  <si>
    <t>ДЕНИСОВИЧ</t>
  </si>
  <si>
    <t>КОВАЛЕНКО</t>
  </si>
  <si>
    <t>ИГОРЬ</t>
  </si>
  <si>
    <t>85-99</t>
  </si>
  <si>
    <t>2019-04-05T00:00:00</t>
  </si>
  <si>
    <t>КОНДРАТЕНКО</t>
  </si>
  <si>
    <t>ЛОПАТИНА</t>
  </si>
  <si>
    <t>ВАСИЛИССА</t>
  </si>
  <si>
    <t>Математика, Информатика</t>
  </si>
  <si>
    <t>МАМРАТ</t>
  </si>
  <si>
    <t>КӘУСАР</t>
  </si>
  <si>
    <t>ЕДІЛҚЫЗЫ</t>
  </si>
  <si>
    <t>планшет (личный)</t>
  </si>
  <si>
    <t>ПОТАПОВ</t>
  </si>
  <si>
    <t>ВАСИЛЬЕВИЧ</t>
  </si>
  <si>
    <t>ЕФИМОВА</t>
  </si>
  <si>
    <t>ЕКАТЕРИНА</t>
  </si>
  <si>
    <t>НҰРСАЯ</t>
  </si>
  <si>
    <t>ТАЛҒАТҚЫЗЫ</t>
  </si>
  <si>
    <t>Конкурс, Конкурс, Конкурс</t>
  </si>
  <si>
    <t>Предметное, Предметное, Спортивное</t>
  </si>
  <si>
    <t>Международные, Международные, Городские</t>
  </si>
  <si>
    <t>Диплом, Диплом,  Грамота</t>
  </si>
  <si>
    <t>2021-12-23T00:00:00, 2021-11-18T00:00:00, 2021-12-19T00:00:00</t>
  </si>
  <si>
    <t>ПАХИРДИНОВА</t>
  </si>
  <si>
    <t>АЙДЫНОВНА</t>
  </si>
  <si>
    <t>АНИЩЕНКО</t>
  </si>
  <si>
    <t>ВИТАЛИЕВИЧ</t>
  </si>
  <si>
    <t>ЖҰМАШ</t>
  </si>
  <si>
    <t>ЗАМАНБЕКҰЛЫ</t>
  </si>
  <si>
    <t>ЧЕРНУЦКАЯ</t>
  </si>
  <si>
    <t>ҚОШМҰХАМЕД</t>
  </si>
  <si>
    <t>ДУМАН</t>
  </si>
  <si>
    <t>ДӘУЛЕТҰЛЫ</t>
  </si>
  <si>
    <t>САМОДУРОВА</t>
  </si>
  <si>
    <t>АЛИШЕР</t>
  </si>
  <si>
    <t>СЕРІКПАЙ</t>
  </si>
  <si>
    <t>ИСЛАНА</t>
  </si>
  <si>
    <t>ЖАНДОСҚЫЗЫ</t>
  </si>
  <si>
    <t>АНУАРҚЫЗЫ</t>
  </si>
  <si>
    <t>ГРИГОРИЙ</t>
  </si>
  <si>
    <t>ГРИГОРЬЕВИЧ</t>
  </si>
  <si>
    <t>ИРМАХАМБЕТ</t>
  </si>
  <si>
    <t>ЖАНИЯ</t>
  </si>
  <si>
    <t>ЕРКЕБУЛАНКЫЗЫ</t>
  </si>
  <si>
    <t>БЕЙСЕН</t>
  </si>
  <si>
    <t>ЖАЛҒАСЫМ</t>
  </si>
  <si>
    <t>ЕРБОЛҚЫЗЫ</t>
  </si>
  <si>
    <t>ВАДИМ</t>
  </si>
  <si>
    <t>ИЛЬИЧ</t>
  </si>
  <si>
    <t>[охвачен(-а) буфетным питанием]</t>
  </si>
  <si>
    <t>НҰРГҮЛ</t>
  </si>
  <si>
    <t>ДАСТАНҚЫЗЫ</t>
  </si>
  <si>
    <t>ПОЛЯКОВ</t>
  </si>
  <si>
    <t>ШЕЙЛА</t>
  </si>
  <si>
    <t>БЕКБОЛАТОВНА</t>
  </si>
  <si>
    <t>БАЙМЕНДИН</t>
  </si>
  <si>
    <t>АЙНАРОВИЧ</t>
  </si>
  <si>
    <t>ДОЙНИКОВ</t>
  </si>
  <si>
    <t>ВЛАДИСЛАВОВИЧ</t>
  </si>
  <si>
    <t>ПОДНЕБЕСНЫЙ</t>
  </si>
  <si>
    <t>КАЙРАТ</t>
  </si>
  <si>
    <t>ЕРАСЫЛ</t>
  </si>
  <si>
    <t>КУАТҰЛЫ</t>
  </si>
  <si>
    <t>НИДОДАЙ</t>
  </si>
  <si>
    <t>АЛИСА</t>
  </si>
  <si>
    <t>ШАГИРОВА</t>
  </si>
  <si>
    <t>КУКОБАКО</t>
  </si>
  <si>
    <t>АРТЁМОВНА</t>
  </si>
  <si>
    <t>МҰХТАР</t>
  </si>
  <si>
    <t>ЕРМҰХАММЕД</t>
  </si>
  <si>
    <t>РҮСТЕМҰЛЫ</t>
  </si>
  <si>
    <t>ШАКИРТОВ</t>
  </si>
  <si>
    <t>АБАЙЖАН</t>
  </si>
  <si>
    <t>АЙДЫНОВИЧ</t>
  </si>
  <si>
    <t>ФАЙЛЬ</t>
  </si>
  <si>
    <t>Соревнование</t>
  </si>
  <si>
    <t>Бронзовая медаль</t>
  </si>
  <si>
    <t>2018-09-28T00:00:00</t>
  </si>
  <si>
    <t>СМАГУЛОВ</t>
  </si>
  <si>
    <t>АМИРХАН</t>
  </si>
  <si>
    <t>ДАУЛЕТОВИЧ</t>
  </si>
  <si>
    <t>языковые</t>
  </si>
  <si>
    <t>платно</t>
  </si>
  <si>
    <t>ТАИРОВА</t>
  </si>
  <si>
    <t>ФАТИМА</t>
  </si>
  <si>
    <t>РИНАДКЫЗЫ</t>
  </si>
  <si>
    <t>шахматно-шашечные</t>
  </si>
  <si>
    <t>АМАНГЕЛЬДИЕВА</t>
  </si>
  <si>
    <t>САМИРА</t>
  </si>
  <si>
    <t>2022-05-03T00:00:00</t>
  </si>
  <si>
    <t>ЛЯПКАЛО</t>
  </si>
  <si>
    <t>АЛБАГАЧИЕВА</t>
  </si>
  <si>
    <t>ЛУИЗА</t>
  </si>
  <si>
    <t>БАГАУДИНОВНА</t>
  </si>
  <si>
    <t>10 класс</t>
  </si>
  <si>
    <t>баскетбольные</t>
  </si>
  <si>
    <t>Конкурс, Олимпиада</t>
  </si>
  <si>
    <t>Творческое, Предметное</t>
  </si>
  <si>
    <t>2019-03-23T00:00:00, 2022-02-14T00:00:00</t>
  </si>
  <si>
    <t>МАДИНА</t>
  </si>
  <si>
    <t>ЖАМБУЛОВНА</t>
  </si>
  <si>
    <t>Математика, Информатика, География, Биология</t>
  </si>
  <si>
    <t>3, 4, 3, 4</t>
  </si>
  <si>
    <t>2022-02-15T00:00:00</t>
  </si>
  <si>
    <t>Ненцы</t>
  </si>
  <si>
    <t>Математика, Биология, География, Информатика, Физика, Химия</t>
  </si>
  <si>
    <t>3, 4, 4, 4, 3, 3</t>
  </si>
  <si>
    <t>АСЕТҰЛЫ</t>
  </si>
  <si>
    <t>САНТЫБАЕВ</t>
  </si>
  <si>
    <t>АРШАТ</t>
  </si>
  <si>
    <t>РАШИДОВИЧ</t>
  </si>
  <si>
    <t>АДЕЛЬ</t>
  </si>
  <si>
    <t>УМАРАЛИЕВ</t>
  </si>
  <si>
    <t>РАДМИР</t>
  </si>
  <si>
    <t>НУРЖАНОВИЧ</t>
  </si>
  <si>
    <t>МУРАТ</t>
  </si>
  <si>
    <t>МАДИЯР</t>
  </si>
  <si>
    <t>ДИАСУЛЫ</t>
  </si>
  <si>
    <t>ЕЛУНИН</t>
  </si>
  <si>
    <t>ЖЕКСЕНБАЕВ</t>
  </si>
  <si>
    <t>АЛДИЯР</t>
  </si>
  <si>
    <t>КЕНЕСОВИЧ</t>
  </si>
  <si>
    <t>МАНАБАЕВ</t>
  </si>
  <si>
    <t>НУРАСЫЛ</t>
  </si>
  <si>
    <t>САЛИХОВ</t>
  </si>
  <si>
    <t>ФАРХАД</t>
  </si>
  <si>
    <t>КАМИЛЛА</t>
  </si>
  <si>
    <t>ҚУАНЫШҚЫЗЫ</t>
  </si>
  <si>
    <t>КОЩЕГУЛОВА</t>
  </si>
  <si>
    <t>АЙМИРА</t>
  </si>
  <si>
    <t>УСМАНОВ</t>
  </si>
  <si>
    <t>ТИМУРОВИЧ</t>
  </si>
  <si>
    <t>АКАЕВ</t>
  </si>
  <si>
    <t>ПРОХОР</t>
  </si>
  <si>
    <t>УМБЕТОВ</t>
  </si>
  <si>
    <t>НУРБЕКОВИЧ</t>
  </si>
  <si>
    <t>ЭМИЛЬ</t>
  </si>
  <si>
    <t>ШМИДТ</t>
  </si>
  <si>
    <t>ЭДГАРДОВИЧ</t>
  </si>
  <si>
    <t>ХАНЗАДА</t>
  </si>
  <si>
    <t>БАЛҒЫНҰЛЫ</t>
  </si>
  <si>
    <t>РУФИНА</t>
  </si>
  <si>
    <t>АМАНГЕЛДЫ</t>
  </si>
  <si>
    <t>ЕРКЕЖАН</t>
  </si>
  <si>
    <t>МЕЙРАМҚЫЗЫ</t>
  </si>
  <si>
    <t>МҰРАТ</t>
  </si>
  <si>
    <t>САҒЖАН</t>
  </si>
  <si>
    <t>ДІНМҰХАМЕДҰЛЫ</t>
  </si>
  <si>
    <t>РЫБНИКОВ</t>
  </si>
  <si>
    <t>ЕРАЛИ</t>
  </si>
  <si>
    <t>АЯТ</t>
  </si>
  <si>
    <t>ДУЛАТ</t>
  </si>
  <si>
    <t>МИРАСҰЛЫ</t>
  </si>
  <si>
    <t>ГРЯЗИНА</t>
  </si>
  <si>
    <t>ЖОЛДАСПЕК</t>
  </si>
  <si>
    <t>ВЛАДИМИРҚЫЗЫ</t>
  </si>
  <si>
    <t>АЛТЫНБЕКОВА</t>
  </si>
  <si>
    <t>МЕЙРАМОВНА</t>
  </si>
  <si>
    <t>ҚАЛАБАЙ</t>
  </si>
  <si>
    <t>НАРИМАН</t>
  </si>
  <si>
    <t>КУСНИДЕНОВ</t>
  </si>
  <si>
    <t>ТАЛГАТОВИЧ</t>
  </si>
  <si>
    <t>ЛОШАК</t>
  </si>
  <si>
    <t>САИД</t>
  </si>
  <si>
    <t>Математика, Физика, Химия, Биология, География</t>
  </si>
  <si>
    <t>3, 3, 3, 4, 4</t>
  </si>
  <si>
    <t>Международные, Районные</t>
  </si>
  <si>
    <t>2018-10-25T00:00:00, 2019-03-12T00:00:00</t>
  </si>
  <si>
    <t>НИКОЛАЙЧУК</t>
  </si>
  <si>
    <t>ХОДЫРЕВ</t>
  </si>
  <si>
    <t>СЕМЕН</t>
  </si>
  <si>
    <t>СИМОНЯН</t>
  </si>
  <si>
    <t>АРМЕН</t>
  </si>
  <si>
    <t>АШОТОВИЧ</t>
  </si>
  <si>
    <t>Армяне</t>
  </si>
  <si>
    <t>АИДА</t>
  </si>
  <si>
    <t>АНИКОНОВ</t>
  </si>
  <si>
    <t>БОРИСОВЕТЦ</t>
  </si>
  <si>
    <t>ЯНОВНА</t>
  </si>
  <si>
    <t>ШАРАНОВ</t>
  </si>
  <si>
    <t>СЕМЁН</t>
  </si>
  <si>
    <t>Yoldoshev</t>
  </si>
  <si>
    <t>Mahd</t>
  </si>
  <si>
    <t>Dilmorod  ogli</t>
  </si>
  <si>
    <t>не гражданин РК</t>
  </si>
  <si>
    <t>другого государства СНГ</t>
  </si>
  <si>
    <t>ЦУРКАН</t>
  </si>
  <si>
    <t>НАКУПОВ</t>
  </si>
  <si>
    <t>художественная обработка дерева</t>
  </si>
  <si>
    <t>фортепиано</t>
  </si>
  <si>
    <t>ГЛОТОВА</t>
  </si>
  <si>
    <t>ДЖАМАНБАЕВА</t>
  </si>
  <si>
    <t>ИГЕМБАЕВА</t>
  </si>
  <si>
    <t>РАХИМБАЕВНА</t>
  </si>
  <si>
    <t>3, 3, 3, 4, 3, 4</t>
  </si>
  <si>
    <t>МӘДІҚОЖА</t>
  </si>
  <si>
    <t>ҰЛАНҰЛЫ</t>
  </si>
  <si>
    <t>КОЧЕНОВ</t>
  </si>
  <si>
    <t>ИБРАИМ</t>
  </si>
  <si>
    <t>РИНАДОГЛЫ</t>
  </si>
  <si>
    <t>ТОЛЕУОВА</t>
  </si>
  <si>
    <t>КАЙЫРЖАНКЫЗЫ</t>
  </si>
  <si>
    <t>Математика, Биология, География, Информатика</t>
  </si>
  <si>
    <t>4, 4, 4, 4</t>
  </si>
  <si>
    <t>БАЙБОЛАТОВА</t>
  </si>
  <si>
    <t>ИЛЬНАРА</t>
  </si>
  <si>
    <t>СУЛЕЙМЕН</t>
  </si>
  <si>
    <t>ЕЛАМАН</t>
  </si>
  <si>
    <t>Иолдашев</t>
  </si>
  <si>
    <t>Элбек</t>
  </si>
  <si>
    <t>Дилмурод угли</t>
  </si>
  <si>
    <t>КЕРІМБЕК</t>
  </si>
  <si>
    <t>ЖАСҰЛАН</t>
  </si>
  <si>
    <t>РУСЛАНҰЛЫ</t>
  </si>
  <si>
    <t>СЕРІК</t>
  </si>
  <si>
    <t>САМАТҰЛЫ</t>
  </si>
  <si>
    <t>АБАЙДЕЛЬДИНОВ</t>
  </si>
  <si>
    <t>НУРАЛИ</t>
  </si>
  <si>
    <t>ЕРКЕБҰЛАНҚЫЗЫ</t>
  </si>
  <si>
    <t>2021-10-26T00:00:00</t>
  </si>
  <si>
    <t>ЯШНИК</t>
  </si>
  <si>
    <t>ВАСИЛЬЕВНА</t>
  </si>
  <si>
    <t>2021-09-10T00:00:00</t>
  </si>
  <si>
    <t>2014-11-13T00:00:00</t>
  </si>
  <si>
    <t>Другие врожденные аномалии сердечной перегородки</t>
  </si>
  <si>
    <t>Коммунальное государственное предприятие на праве хозяйственного ведения «Городская поликлиника №13» акимата города Астаны</t>
  </si>
  <si>
    <t>г.Нур-Султан</t>
  </si>
  <si>
    <t>АБАЙДЕЛЬДИНОВА</t>
  </si>
  <si>
    <t>АЯГОЗ</t>
  </si>
  <si>
    <t>ЕРЛАНОВНА</t>
  </si>
  <si>
    <t>АБДРАШЕВА</t>
  </si>
  <si>
    <t>АЛМАТОВНА</t>
  </si>
  <si>
    <t>2018-11-13T00:00:00</t>
  </si>
  <si>
    <t>КЕНЖЕТАЙ</t>
  </si>
  <si>
    <t>СЕРІКБОЛҰЛЫ</t>
  </si>
  <si>
    <t>АЛИЖАН</t>
  </si>
  <si>
    <t>национальные игры</t>
  </si>
  <si>
    <t>Спартакиада, Спартакиада, Спартакиада</t>
  </si>
  <si>
    <t>Спортивное, Спортивное, Спортивное</t>
  </si>
  <si>
    <t>Городские, Городские, Городские</t>
  </si>
  <si>
    <t>Серебряная медаль, Бронзовая медаль, Серебряная медаль</t>
  </si>
  <si>
    <t>2022-03-16T00:00:00, 2022-02-14T00:00:00, 2021-11-16T00:00:00</t>
  </si>
  <si>
    <t>АЙТКУЛОВА</t>
  </si>
  <si>
    <t>БЕРІК</t>
  </si>
  <si>
    <t>АРЫСТАН</t>
  </si>
  <si>
    <t>ДАМИРҰЛЫ</t>
  </si>
  <si>
    <t>БОГДАНОВА</t>
  </si>
  <si>
    <t>КУЛИКОВА</t>
  </si>
  <si>
    <t>АМЕЛИЯ</t>
  </si>
  <si>
    <t>ТУЛЕГЕН</t>
  </si>
  <si>
    <t>НУРИЯ</t>
  </si>
  <si>
    <t>СЕРЖАНҚЫЗЫ</t>
  </si>
  <si>
    <t>САНИЯ</t>
  </si>
  <si>
    <t>БОЛТАК</t>
  </si>
  <si>
    <t>МАРИАННА</t>
  </si>
  <si>
    <t>УСЕН</t>
  </si>
  <si>
    <t>КАНАТБЕКҰЛЫ</t>
  </si>
  <si>
    <t>БОРИСОВНА</t>
  </si>
  <si>
    <t>САВЕЛЬЕВ</t>
  </si>
  <si>
    <t>АНАТОЛЬЕВИЧ</t>
  </si>
  <si>
    <t>СУЛЕЙМАН</t>
  </si>
  <si>
    <t>ВЕРА</t>
  </si>
  <si>
    <t>КОЖАХМЕТОВА</t>
  </si>
  <si>
    <t>ИНДИРА</t>
  </si>
  <si>
    <t>ДАНИЯРКЫЗЫ</t>
  </si>
  <si>
    <t>НАРИМАНҚЫЗЫ</t>
  </si>
  <si>
    <t>КАНАФИН</t>
  </si>
  <si>
    <t>АЛИБЕКОВИЧ</t>
  </si>
  <si>
    <t>КАШИН</t>
  </si>
  <si>
    <t>МИХАИЛОВИЧ</t>
  </si>
  <si>
    <t>КИМУРОВА</t>
  </si>
  <si>
    <t>АДЕЛЯ</t>
  </si>
  <si>
    <t>ЗАКИРОВНА</t>
  </si>
  <si>
    <t>Дунгане</t>
  </si>
  <si>
    <t>КИМУРОВ</t>
  </si>
  <si>
    <t>НУР МУХАММАД</t>
  </si>
  <si>
    <t>ЗАКИРОВИЧ</t>
  </si>
  <si>
    <t>ИЩАНОВ</t>
  </si>
  <si>
    <t>ДАРХАН -АЛИ</t>
  </si>
  <si>
    <t>КАДОЧНИКОВ</t>
  </si>
  <si>
    <t>МИХАИЛ</t>
  </si>
  <si>
    <t>МЕЛЬНИЧУК</t>
  </si>
  <si>
    <t>МИРАМБЕКОВА</t>
  </si>
  <si>
    <t>КУАНЫШБЕКОВНА</t>
  </si>
  <si>
    <t>Отдела по делам несовершеннолетних</t>
  </si>
  <si>
    <t>МОИСЕЕВ</t>
  </si>
  <si>
    <t>ТАЛҒАТ</t>
  </si>
  <si>
    <t>АРЫСЛАНБЕК</t>
  </si>
  <si>
    <t>ЕРЗАТҰЛЫ</t>
  </si>
  <si>
    <t>ТУСПАЕВ</t>
  </si>
  <si>
    <t>ОРДАХАН</t>
  </si>
  <si>
    <t>МАРАТОВИЧ</t>
  </si>
  <si>
    <t>Республиканские, Городские</t>
  </si>
  <si>
    <t>2022-04-28T00:00:00, 2022-02-16T00:00:00</t>
  </si>
  <si>
    <t>др.района (города) данной области</t>
  </si>
  <si>
    <t>КОРПЕШЕВ</t>
  </si>
  <si>
    <t>АЛИБЕК</t>
  </si>
  <si>
    <t>МАКСАТОВИЧ</t>
  </si>
  <si>
    <t>Районные, Районные</t>
  </si>
  <si>
    <t>2022-04-05T00:00:00, 2022-04-04T00:00:00</t>
  </si>
  <si>
    <t>УСЕНБАЕВА</t>
  </si>
  <si>
    <t>ЧЕДЫРБАЕВ</t>
  </si>
  <si>
    <t>МУРАТОВИЧ</t>
  </si>
  <si>
    <t>ЛЮБОВЬ</t>
  </si>
  <si>
    <t>ГЛИВИНСКИЙ</t>
  </si>
  <si>
    <t>ЖАКСЫЛЫКОВ</t>
  </si>
  <si>
    <t>АЗАТ</t>
  </si>
  <si>
    <t>ЕРМЕКОВИЧ</t>
  </si>
  <si>
    <t>обеспечен самостоятельно</t>
  </si>
  <si>
    <t>АРМАН</t>
  </si>
  <si>
    <t>ШУЛАКОВА</t>
  </si>
  <si>
    <t>АЯНА</t>
  </si>
  <si>
    <t>САБИТОВНА</t>
  </si>
  <si>
    <t>ЧЕРНЯВСКИЙ</t>
  </si>
  <si>
    <t>ИДРИС</t>
  </si>
  <si>
    <t>ГЕРЦОГ</t>
  </si>
  <si>
    <t>ЭДУАРДОВИЧ</t>
  </si>
  <si>
    <t>ҚЫЗЫР</t>
  </si>
  <si>
    <t>НАЗЫМ</t>
  </si>
  <si>
    <t>САМАТҚЫЗЫ</t>
  </si>
  <si>
    <t>ТАЙРОВ</t>
  </si>
  <si>
    <t>ЗАМИР</t>
  </si>
  <si>
    <t>ТИМУРОГЛЫ</t>
  </si>
  <si>
    <t>Турки</t>
  </si>
  <si>
    <t>ПЕЛАГЕИН</t>
  </si>
  <si>
    <t>2017-09-21T00:00:00</t>
  </si>
  <si>
    <t>КИСТАУБАЕВА</t>
  </si>
  <si>
    <t>АДЭЛЬ</t>
  </si>
  <si>
    <t>БОЛАТОВНА</t>
  </si>
  <si>
    <t>ГУЛАГИНА</t>
  </si>
  <si>
    <t>КОЛЕСНИКОВА</t>
  </si>
  <si>
    <t>ОЛЬГА</t>
  </si>
  <si>
    <t>ДҮЙСЕМБЕК</t>
  </si>
  <si>
    <t>ӘМІР</t>
  </si>
  <si>
    <t>РАЙХЕЛЬ</t>
  </si>
  <si>
    <t>другие спортивные</t>
  </si>
  <si>
    <t>БАХТИЯРОВА</t>
  </si>
  <si>
    <t>другие</t>
  </si>
  <si>
    <t>2019-10-03T00:00:00</t>
  </si>
  <si>
    <t>АБДИГАЛИЕВ</t>
  </si>
  <si>
    <t>ДИМАШ</t>
  </si>
  <si>
    <t>КАЦЕНДОРФ</t>
  </si>
  <si>
    <t>ИЛЬИНИЧНА</t>
  </si>
  <si>
    <t>ЖЕЖЕРО</t>
  </si>
  <si>
    <t>ЕЛШІБЕК</t>
  </si>
  <si>
    <t>ҚАСЫМХАН</t>
  </si>
  <si>
    <t>ӘДІЛҚАЙРҰЛЫ</t>
  </si>
  <si>
    <t>ТОЛҒАНАЙ</t>
  </si>
  <si>
    <t>СЫМБАТҚЫЗЫ</t>
  </si>
  <si>
    <t>ЮРЕСКО</t>
  </si>
  <si>
    <t>КУАНЫШБАЕВА</t>
  </si>
  <si>
    <t>АЙАРУ</t>
  </si>
  <si>
    <t>АНДРУСЕНКО</t>
  </si>
  <si>
    <t>КУРЕЙШЕВНА</t>
  </si>
  <si>
    <t>ПАВЛОВА</t>
  </si>
  <si>
    <t>НАТАЛЬЯ</t>
  </si>
  <si>
    <t>4, 4, 4, 4, 4, 5</t>
  </si>
  <si>
    <t>ПАВЕЛ</t>
  </si>
  <si>
    <t>ЕЛЕУ</t>
  </si>
  <si>
    <t>ИЛЬДАР</t>
  </si>
  <si>
    <t>СЕРИКЖАНҰЛЫ</t>
  </si>
  <si>
    <t>ГЮР</t>
  </si>
  <si>
    <t>КАДРИ</t>
  </si>
  <si>
    <t>УУРОЛУ</t>
  </si>
  <si>
    <t>бисер, батик</t>
  </si>
  <si>
    <t>платно, платно</t>
  </si>
  <si>
    <t>ҚАДЫРБЕК</t>
  </si>
  <si>
    <t>МЕРГЕН</t>
  </si>
  <si>
    <t>ЖӘРДЕМҒАЛИҰЛЫ</t>
  </si>
  <si>
    <t>борьба (все виды)</t>
  </si>
  <si>
    <t>Творческое, Творческое</t>
  </si>
  <si>
    <t>2019-02-13T00:00:00, 2022-04-20T00:00:00</t>
  </si>
  <si>
    <t>ШИРЛЕ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</si>
</sst>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563"/>
  <sheetViews>
    <sheetView tabSelected="1" workbookViewId="0"/>
  </sheetViews>
  <sheetFormatPr defaultRowHeight="14.4" x14ac:dyDescent="0.3"/>
  <sheetData>
    <row r="1" spans="1:18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</row>
    <row r="2" spans="1:184" x14ac:dyDescent="0.3">
      <c r="A2">
        <v>1218531</v>
      </c>
      <c r="B2">
        <v>927304</v>
      </c>
      <c r="C2" t="str">
        <f>"080130552821"</f>
        <v>080130552821</v>
      </c>
      <c r="D2" t="s">
        <v>184</v>
      </c>
      <c r="E2" t="s">
        <v>185</v>
      </c>
      <c r="F2" t="s">
        <v>186</v>
      </c>
      <c r="G2" s="1">
        <v>39477</v>
      </c>
      <c r="I2" t="s">
        <v>187</v>
      </c>
      <c r="J2" t="s">
        <v>188</v>
      </c>
      <c r="K2" t="s">
        <v>189</v>
      </c>
      <c r="Y2" t="str">
        <f>"2016-08-31T00:00:00"</f>
        <v>2016-08-31T00:00:00</v>
      </c>
      <c r="Z2" t="str">
        <f>"№40"</f>
        <v>№40</v>
      </c>
      <c r="AA2" t="s">
        <v>190</v>
      </c>
      <c r="AB2" t="str">
        <f>"akm_arshalu_novoaleksandrovka@mail.ru"</f>
        <v>akm_arshalu_novoaleksandrovka@mail.ru</v>
      </c>
      <c r="AC2" t="s">
        <v>191</v>
      </c>
      <c r="AD2" t="s">
        <v>192</v>
      </c>
      <c r="AE2" t="s">
        <v>193</v>
      </c>
      <c r="AF2" t="s">
        <v>194</v>
      </c>
      <c r="AH2" t="s">
        <v>195</v>
      </c>
      <c r="AI2">
        <v>2</v>
      </c>
      <c r="AJ2" t="s">
        <v>196</v>
      </c>
      <c r="AK2" t="s">
        <v>194</v>
      </c>
      <c r="AL2" t="s">
        <v>197</v>
      </c>
      <c r="AM2" t="s">
        <v>198</v>
      </c>
      <c r="AR2" t="s">
        <v>194</v>
      </c>
      <c r="AS2" t="s">
        <v>199</v>
      </c>
      <c r="AU2" t="s">
        <v>197</v>
      </c>
      <c r="AZ2" t="s">
        <v>194</v>
      </c>
      <c r="BA2" t="s">
        <v>200</v>
      </c>
      <c r="BB2" t="s">
        <v>201</v>
      </c>
      <c r="BD2" t="s">
        <v>200</v>
      </c>
      <c r="BE2" t="s">
        <v>202</v>
      </c>
      <c r="BF2" t="s">
        <v>197</v>
      </c>
      <c r="BG2" t="s">
        <v>203</v>
      </c>
      <c r="BH2" t="s">
        <v>204</v>
      </c>
      <c r="BJ2" t="s">
        <v>205</v>
      </c>
      <c r="BK2" t="s">
        <v>206</v>
      </c>
      <c r="BL2" t="s">
        <v>194</v>
      </c>
      <c r="BO2" t="s">
        <v>200</v>
      </c>
      <c r="BP2" t="s">
        <v>200</v>
      </c>
      <c r="BR2" t="s">
        <v>207</v>
      </c>
      <c r="BS2" t="s">
        <v>208</v>
      </c>
      <c r="BT2" t="s">
        <v>197</v>
      </c>
      <c r="BV2" t="s">
        <v>209</v>
      </c>
      <c r="BW2" t="s">
        <v>210</v>
      </c>
      <c r="BX2" t="s">
        <v>211</v>
      </c>
      <c r="BY2" t="s">
        <v>212</v>
      </c>
      <c r="BZ2" t="s">
        <v>213</v>
      </c>
      <c r="CA2" t="s">
        <v>194</v>
      </c>
      <c r="CB2" t="s">
        <v>214</v>
      </c>
      <c r="CF2" t="s">
        <v>215</v>
      </c>
      <c r="CH2" t="s">
        <v>214</v>
      </c>
      <c r="CI2" t="s">
        <v>214</v>
      </c>
      <c r="CJ2" t="s">
        <v>214</v>
      </c>
      <c r="CP2" t="s">
        <v>214</v>
      </c>
      <c r="CS2" t="s">
        <v>216</v>
      </c>
      <c r="CV2" t="s">
        <v>214</v>
      </c>
      <c r="CW2" t="s">
        <v>214</v>
      </c>
      <c r="CX2" t="s">
        <v>217</v>
      </c>
      <c r="CY2" t="s">
        <v>214</v>
      </c>
      <c r="DA2" t="s">
        <v>218</v>
      </c>
    </row>
    <row r="3" spans="1:184" x14ac:dyDescent="0.3">
      <c r="A3">
        <v>1222741</v>
      </c>
      <c r="B3">
        <v>929791</v>
      </c>
      <c r="C3" t="str">
        <f>"080405651971"</f>
        <v>080405651971</v>
      </c>
      <c r="D3" t="s">
        <v>219</v>
      </c>
      <c r="E3" t="s">
        <v>220</v>
      </c>
      <c r="F3" t="s">
        <v>221</v>
      </c>
      <c r="G3" s="1">
        <v>39543</v>
      </c>
      <c r="I3" t="s">
        <v>222</v>
      </c>
      <c r="J3" t="s">
        <v>188</v>
      </c>
      <c r="K3" t="s">
        <v>223</v>
      </c>
      <c r="Y3" t="str">
        <f>"2015-09-01T00:00:00"</f>
        <v>2015-09-01T00:00:00</v>
      </c>
      <c r="Z3" t="str">
        <f>"№46"</f>
        <v>№46</v>
      </c>
      <c r="AA3" t="s">
        <v>224</v>
      </c>
      <c r="AC3" t="s">
        <v>225</v>
      </c>
      <c r="AD3" t="s">
        <v>226</v>
      </c>
      <c r="AE3" t="s">
        <v>227</v>
      </c>
      <c r="AF3" t="s">
        <v>194</v>
      </c>
      <c r="AH3" t="s">
        <v>195</v>
      </c>
      <c r="AI3">
        <v>2</v>
      </c>
      <c r="AJ3" t="s">
        <v>196</v>
      </c>
      <c r="AK3" t="s">
        <v>194</v>
      </c>
      <c r="AL3" t="s">
        <v>197</v>
      </c>
      <c r="AM3" t="s">
        <v>228</v>
      </c>
      <c r="AR3" t="s">
        <v>194</v>
      </c>
      <c r="AS3" t="s">
        <v>199</v>
      </c>
      <c r="AU3" t="s">
        <v>197</v>
      </c>
      <c r="AZ3" t="s">
        <v>194</v>
      </c>
      <c r="BA3" t="s">
        <v>200</v>
      </c>
      <c r="BB3" t="s">
        <v>201</v>
      </c>
      <c r="BD3" t="s">
        <v>200</v>
      </c>
      <c r="BE3" t="s">
        <v>229</v>
      </c>
      <c r="BF3" t="s">
        <v>197</v>
      </c>
      <c r="BG3" t="s">
        <v>230</v>
      </c>
      <c r="BH3" t="s">
        <v>231</v>
      </c>
      <c r="BJ3" t="s">
        <v>205</v>
      </c>
      <c r="BK3" t="s">
        <v>206</v>
      </c>
      <c r="BL3" t="s">
        <v>194</v>
      </c>
      <c r="BO3" t="s">
        <v>200</v>
      </c>
      <c r="BP3" t="s">
        <v>200</v>
      </c>
      <c r="BR3" t="s">
        <v>232</v>
      </c>
      <c r="BT3" t="s">
        <v>197</v>
      </c>
      <c r="BV3" t="s">
        <v>233</v>
      </c>
      <c r="CA3" t="s">
        <v>194</v>
      </c>
      <c r="CB3" t="s">
        <v>214</v>
      </c>
      <c r="CF3" t="s">
        <v>215</v>
      </c>
      <c r="CH3" t="s">
        <v>214</v>
      </c>
      <c r="CI3" t="s">
        <v>214</v>
      </c>
      <c r="CJ3" t="s">
        <v>214</v>
      </c>
      <c r="CP3" t="s">
        <v>214</v>
      </c>
      <c r="CS3" t="s">
        <v>216</v>
      </c>
      <c r="CV3" t="s">
        <v>214</v>
      </c>
      <c r="CW3" t="s">
        <v>214</v>
      </c>
      <c r="CX3" t="s">
        <v>217</v>
      </c>
      <c r="CY3" t="s">
        <v>214</v>
      </c>
      <c r="DA3" t="s">
        <v>218</v>
      </c>
    </row>
    <row r="4" spans="1:184" x14ac:dyDescent="0.3">
      <c r="A4">
        <v>1222771</v>
      </c>
      <c r="B4">
        <v>929806</v>
      </c>
      <c r="C4" t="str">
        <f>"080909650844"</f>
        <v>080909650844</v>
      </c>
      <c r="D4" t="s">
        <v>234</v>
      </c>
      <c r="E4" t="s">
        <v>235</v>
      </c>
      <c r="F4" t="s">
        <v>236</v>
      </c>
      <c r="G4" s="1">
        <v>39700</v>
      </c>
      <c r="I4" t="s">
        <v>222</v>
      </c>
      <c r="J4" t="s">
        <v>188</v>
      </c>
      <c r="K4" t="s">
        <v>223</v>
      </c>
      <c r="Y4" t="str">
        <f>"2018-08-06T00:00:00"</f>
        <v>2018-08-06T00:00:00</v>
      </c>
      <c r="Z4" t="str">
        <f>"№19"</f>
        <v>№19</v>
      </c>
      <c r="AA4" t="s">
        <v>224</v>
      </c>
      <c r="AC4" t="s">
        <v>237</v>
      </c>
      <c r="AD4" t="s">
        <v>226</v>
      </c>
      <c r="AE4" t="s">
        <v>193</v>
      </c>
      <c r="AF4" t="s">
        <v>194</v>
      </c>
      <c r="AH4" t="s">
        <v>195</v>
      </c>
      <c r="AI4">
        <v>1</v>
      </c>
      <c r="AJ4" t="s">
        <v>196</v>
      </c>
      <c r="AK4" t="s">
        <v>194</v>
      </c>
      <c r="AL4" t="s">
        <v>197</v>
      </c>
      <c r="AM4" t="s">
        <v>198</v>
      </c>
      <c r="AR4" t="s">
        <v>214</v>
      </c>
      <c r="AU4" t="s">
        <v>197</v>
      </c>
      <c r="AZ4" t="s">
        <v>194</v>
      </c>
      <c r="BA4" t="s">
        <v>200</v>
      </c>
      <c r="BB4" t="s">
        <v>201</v>
      </c>
      <c r="BD4" t="s">
        <v>200</v>
      </c>
      <c r="BE4" t="s">
        <v>229</v>
      </c>
      <c r="BF4" t="s">
        <v>197</v>
      </c>
      <c r="BG4" t="s">
        <v>238</v>
      </c>
      <c r="BH4">
        <v>4</v>
      </c>
      <c r="BJ4" t="s">
        <v>205</v>
      </c>
      <c r="BK4" t="s">
        <v>206</v>
      </c>
      <c r="BL4" t="s">
        <v>194</v>
      </c>
      <c r="BO4" t="s">
        <v>216</v>
      </c>
      <c r="BP4" t="s">
        <v>216</v>
      </c>
      <c r="BR4" t="s">
        <v>232</v>
      </c>
      <c r="BT4" t="s">
        <v>197</v>
      </c>
      <c r="BV4" t="s">
        <v>233</v>
      </c>
      <c r="CA4" t="s">
        <v>194</v>
      </c>
      <c r="CB4" t="s">
        <v>214</v>
      </c>
      <c r="CF4" t="s">
        <v>215</v>
      </c>
      <c r="CH4" t="s">
        <v>214</v>
      </c>
      <c r="CI4" t="s">
        <v>214</v>
      </c>
      <c r="CJ4" t="s">
        <v>214</v>
      </c>
      <c r="CP4" t="s">
        <v>214</v>
      </c>
      <c r="CS4" t="s">
        <v>216</v>
      </c>
      <c r="CV4" t="s">
        <v>214</v>
      </c>
      <c r="CW4" t="s">
        <v>214</v>
      </c>
      <c r="CX4" t="s">
        <v>217</v>
      </c>
      <c r="CY4" t="s">
        <v>214</v>
      </c>
      <c r="DA4" t="s">
        <v>218</v>
      </c>
    </row>
    <row r="5" spans="1:184" x14ac:dyDescent="0.3">
      <c r="A5">
        <v>1222796</v>
      </c>
      <c r="B5">
        <v>929825</v>
      </c>
      <c r="C5" t="str">
        <f>"100130553071"</f>
        <v>100130553071</v>
      </c>
      <c r="D5" t="s">
        <v>239</v>
      </c>
      <c r="E5" t="s">
        <v>240</v>
      </c>
      <c r="F5" t="s">
        <v>241</v>
      </c>
      <c r="G5" s="1">
        <v>40208</v>
      </c>
      <c r="I5" t="s">
        <v>187</v>
      </c>
      <c r="J5" t="s">
        <v>188</v>
      </c>
      <c r="K5" t="s">
        <v>223</v>
      </c>
      <c r="Y5" t="str">
        <f>"2016-08-29T00:00:00"</f>
        <v>2016-08-29T00:00:00</v>
      </c>
      <c r="Z5" t="str">
        <f>"№39"</f>
        <v>№39</v>
      </c>
      <c r="AA5" t="s">
        <v>190</v>
      </c>
      <c r="AC5" t="s">
        <v>225</v>
      </c>
      <c r="AD5" t="s">
        <v>242</v>
      </c>
      <c r="AE5" t="s">
        <v>243</v>
      </c>
      <c r="AF5" t="s">
        <v>194</v>
      </c>
      <c r="AH5" t="s">
        <v>195</v>
      </c>
      <c r="AI5">
        <v>1</v>
      </c>
      <c r="AJ5" t="s">
        <v>196</v>
      </c>
      <c r="AK5" t="s">
        <v>194</v>
      </c>
      <c r="AL5" t="s">
        <v>197</v>
      </c>
      <c r="AM5" t="s">
        <v>198</v>
      </c>
      <c r="AQ5" t="str">
        <f>"2020-11-04T10:03:45"</f>
        <v>2020-11-04T10:03:45</v>
      </c>
      <c r="AR5" t="s">
        <v>194</v>
      </c>
      <c r="AS5" t="s">
        <v>199</v>
      </c>
      <c r="AU5" t="s">
        <v>197</v>
      </c>
      <c r="AZ5" t="s">
        <v>194</v>
      </c>
      <c r="BA5" t="s">
        <v>200</v>
      </c>
      <c r="BB5" t="s">
        <v>201</v>
      </c>
      <c r="BD5" t="s">
        <v>200</v>
      </c>
      <c r="BE5" t="s">
        <v>244</v>
      </c>
      <c r="BF5" t="s">
        <v>197</v>
      </c>
      <c r="BG5" t="s">
        <v>230</v>
      </c>
      <c r="BH5" t="s">
        <v>245</v>
      </c>
      <c r="BJ5" t="s">
        <v>205</v>
      </c>
      <c r="BK5" t="s">
        <v>206</v>
      </c>
      <c r="BL5" t="s">
        <v>194</v>
      </c>
      <c r="BO5" t="s">
        <v>200</v>
      </c>
      <c r="BP5" t="s">
        <v>200</v>
      </c>
      <c r="BR5" t="s">
        <v>246</v>
      </c>
      <c r="BS5" t="s">
        <v>208</v>
      </c>
      <c r="BT5" t="s">
        <v>197</v>
      </c>
      <c r="BV5" t="s">
        <v>247</v>
      </c>
      <c r="BW5" t="s">
        <v>248</v>
      </c>
      <c r="BX5" t="s">
        <v>249</v>
      </c>
      <c r="BY5" t="s">
        <v>250</v>
      </c>
      <c r="BZ5" t="s">
        <v>251</v>
      </c>
      <c r="CA5" t="s">
        <v>194</v>
      </c>
      <c r="CB5" t="s">
        <v>214</v>
      </c>
      <c r="CF5" t="s">
        <v>215</v>
      </c>
      <c r="CH5" t="s">
        <v>214</v>
      </c>
      <c r="CI5" t="s">
        <v>214</v>
      </c>
      <c r="CJ5" t="s">
        <v>214</v>
      </c>
      <c r="CP5" t="s">
        <v>214</v>
      </c>
      <c r="CS5" t="s">
        <v>216</v>
      </c>
      <c r="CV5" t="s">
        <v>214</v>
      </c>
      <c r="CW5" t="s">
        <v>214</v>
      </c>
      <c r="CX5" t="s">
        <v>217</v>
      </c>
      <c r="CY5" t="s">
        <v>214</v>
      </c>
      <c r="DA5" t="s">
        <v>218</v>
      </c>
    </row>
    <row r="6" spans="1:184" x14ac:dyDescent="0.3">
      <c r="A6">
        <v>1222811</v>
      </c>
      <c r="B6">
        <v>832903</v>
      </c>
      <c r="C6" t="str">
        <f>"090623651651"</f>
        <v>090623651651</v>
      </c>
      <c r="D6" t="s">
        <v>252</v>
      </c>
      <c r="E6" t="s">
        <v>253</v>
      </c>
      <c r="F6" t="s">
        <v>254</v>
      </c>
      <c r="G6" s="1">
        <v>39987</v>
      </c>
      <c r="I6" t="s">
        <v>222</v>
      </c>
      <c r="J6" t="s">
        <v>188</v>
      </c>
      <c r="K6" t="s">
        <v>223</v>
      </c>
      <c r="Y6" t="str">
        <f>"2017-08-07T00:00:00"</f>
        <v>2017-08-07T00:00:00</v>
      </c>
      <c r="Z6" t="str">
        <f>"№25"</f>
        <v>№25</v>
      </c>
      <c r="AA6" t="s">
        <v>190</v>
      </c>
      <c r="AC6" t="s">
        <v>255</v>
      </c>
      <c r="AD6" t="s">
        <v>242</v>
      </c>
      <c r="AE6" t="s">
        <v>227</v>
      </c>
      <c r="AF6" t="s">
        <v>194</v>
      </c>
      <c r="AH6" t="s">
        <v>195</v>
      </c>
      <c r="AI6">
        <v>2</v>
      </c>
      <c r="AJ6" t="s">
        <v>196</v>
      </c>
      <c r="AK6" t="s">
        <v>194</v>
      </c>
      <c r="AL6" t="s">
        <v>197</v>
      </c>
      <c r="AM6" t="s">
        <v>198</v>
      </c>
      <c r="AR6" t="s">
        <v>194</v>
      </c>
      <c r="AS6" t="s">
        <v>199</v>
      </c>
      <c r="AU6" t="s">
        <v>197</v>
      </c>
      <c r="AZ6" t="s">
        <v>194</v>
      </c>
      <c r="BA6" t="s">
        <v>200</v>
      </c>
      <c r="BB6" t="s">
        <v>201</v>
      </c>
      <c r="BD6" t="s">
        <v>200</v>
      </c>
      <c r="BE6" t="s">
        <v>202</v>
      </c>
      <c r="BF6" t="s">
        <v>197</v>
      </c>
      <c r="BG6" t="s">
        <v>230</v>
      </c>
      <c r="BH6" t="s">
        <v>256</v>
      </c>
      <c r="BJ6" t="s">
        <v>205</v>
      </c>
      <c r="BK6" t="s">
        <v>206</v>
      </c>
      <c r="BL6" t="s">
        <v>194</v>
      </c>
      <c r="BO6" t="s">
        <v>216</v>
      </c>
      <c r="BP6" t="s">
        <v>216</v>
      </c>
      <c r="BR6" t="s">
        <v>232</v>
      </c>
      <c r="BT6" t="s">
        <v>197</v>
      </c>
      <c r="BV6" t="s">
        <v>233</v>
      </c>
      <c r="CA6" t="s">
        <v>194</v>
      </c>
      <c r="CB6" t="s">
        <v>214</v>
      </c>
      <c r="CF6" t="s">
        <v>215</v>
      </c>
      <c r="CH6" t="s">
        <v>214</v>
      </c>
      <c r="CI6" t="s">
        <v>214</v>
      </c>
      <c r="CJ6" t="s">
        <v>214</v>
      </c>
      <c r="CP6" t="s">
        <v>214</v>
      </c>
      <c r="CS6" t="s">
        <v>216</v>
      </c>
      <c r="CV6" t="s">
        <v>214</v>
      </c>
      <c r="CW6" t="s">
        <v>214</v>
      </c>
      <c r="CX6" t="s">
        <v>217</v>
      </c>
      <c r="CY6" t="s">
        <v>214</v>
      </c>
      <c r="DA6" t="s">
        <v>218</v>
      </c>
    </row>
    <row r="7" spans="1:184" x14ac:dyDescent="0.3">
      <c r="A7">
        <v>1222980</v>
      </c>
      <c r="B7">
        <v>896680</v>
      </c>
      <c r="C7" t="str">
        <f>"110721602078"</f>
        <v>110721602078</v>
      </c>
      <c r="D7" t="s">
        <v>257</v>
      </c>
      <c r="E7" t="s">
        <v>258</v>
      </c>
      <c r="F7" t="s">
        <v>259</v>
      </c>
      <c r="G7" s="1">
        <v>40745</v>
      </c>
      <c r="I7" t="s">
        <v>222</v>
      </c>
      <c r="J7" t="s">
        <v>188</v>
      </c>
      <c r="K7" t="s">
        <v>260</v>
      </c>
      <c r="Y7" t="str">
        <f>"2017-08-07T00:00:00"</f>
        <v>2017-08-07T00:00:00</v>
      </c>
      <c r="Z7" t="str">
        <f>"№25"</f>
        <v>№25</v>
      </c>
      <c r="AA7" t="s">
        <v>224</v>
      </c>
      <c r="AC7" t="s">
        <v>191</v>
      </c>
      <c r="AD7" t="s">
        <v>261</v>
      </c>
      <c r="AE7" t="s">
        <v>193</v>
      </c>
      <c r="AF7" t="s">
        <v>194</v>
      </c>
      <c r="AH7" t="s">
        <v>195</v>
      </c>
      <c r="AI7">
        <v>2</v>
      </c>
      <c r="AJ7" t="s">
        <v>196</v>
      </c>
      <c r="AK7" t="s">
        <v>194</v>
      </c>
      <c r="AL7" t="s">
        <v>197</v>
      </c>
      <c r="AM7" t="s">
        <v>228</v>
      </c>
      <c r="AR7" t="s">
        <v>194</v>
      </c>
      <c r="AS7" t="s">
        <v>199</v>
      </c>
      <c r="AU7" t="s">
        <v>197</v>
      </c>
      <c r="AZ7" t="s">
        <v>194</v>
      </c>
      <c r="BA7" t="s">
        <v>200</v>
      </c>
      <c r="BB7" t="s">
        <v>201</v>
      </c>
      <c r="BD7" t="s">
        <v>200</v>
      </c>
      <c r="BE7" t="s">
        <v>229</v>
      </c>
      <c r="BF7" t="s">
        <v>197</v>
      </c>
      <c r="BG7" t="s">
        <v>262</v>
      </c>
      <c r="BH7" t="s">
        <v>263</v>
      </c>
      <c r="BJ7" t="s">
        <v>205</v>
      </c>
      <c r="BK7" t="s">
        <v>206</v>
      </c>
      <c r="BL7" t="s">
        <v>194</v>
      </c>
      <c r="BO7" t="s">
        <v>216</v>
      </c>
      <c r="BP7" t="s">
        <v>216</v>
      </c>
      <c r="BR7" t="s">
        <v>232</v>
      </c>
      <c r="BT7" t="s">
        <v>197</v>
      </c>
      <c r="BV7" t="s">
        <v>233</v>
      </c>
      <c r="CA7" t="s">
        <v>194</v>
      </c>
      <c r="CB7" t="s">
        <v>194</v>
      </c>
      <c r="CC7" t="s">
        <v>264</v>
      </c>
      <c r="CD7" t="s">
        <v>265</v>
      </c>
      <c r="CE7" t="s">
        <v>266</v>
      </c>
      <c r="CF7" t="s">
        <v>215</v>
      </c>
      <c r="CH7" t="s">
        <v>214</v>
      </c>
      <c r="CI7" t="s">
        <v>214</v>
      </c>
      <c r="CJ7" t="s">
        <v>214</v>
      </c>
      <c r="CP7" t="s">
        <v>214</v>
      </c>
      <c r="CS7" t="s">
        <v>216</v>
      </c>
      <c r="CV7" t="s">
        <v>214</v>
      </c>
      <c r="CW7" t="s">
        <v>214</v>
      </c>
      <c r="CX7" t="s">
        <v>217</v>
      </c>
      <c r="CY7" t="s">
        <v>214</v>
      </c>
      <c r="DA7" t="s">
        <v>218</v>
      </c>
    </row>
    <row r="8" spans="1:184" x14ac:dyDescent="0.3">
      <c r="A8">
        <v>1223015</v>
      </c>
      <c r="B8">
        <v>929955</v>
      </c>
      <c r="C8" t="str">
        <f>"110618601773"</f>
        <v>110618601773</v>
      </c>
      <c r="D8" t="s">
        <v>257</v>
      </c>
      <c r="E8" t="s">
        <v>267</v>
      </c>
      <c r="F8" t="s">
        <v>268</v>
      </c>
      <c r="G8" s="1">
        <v>40712</v>
      </c>
      <c r="I8" t="s">
        <v>222</v>
      </c>
      <c r="J8" t="s">
        <v>188</v>
      </c>
      <c r="K8" t="s">
        <v>260</v>
      </c>
      <c r="Y8" t="str">
        <f>"2017-08-07T00:00:00"</f>
        <v>2017-08-07T00:00:00</v>
      </c>
      <c r="Z8" t="str">
        <f>"№25"</f>
        <v>№25</v>
      </c>
      <c r="AA8" t="s">
        <v>224</v>
      </c>
      <c r="AC8" t="s">
        <v>191</v>
      </c>
      <c r="AD8" t="s">
        <v>261</v>
      </c>
      <c r="AE8" t="s">
        <v>193</v>
      </c>
      <c r="AF8" t="s">
        <v>194</v>
      </c>
      <c r="AH8" t="s">
        <v>195</v>
      </c>
      <c r="AI8">
        <v>2</v>
      </c>
      <c r="AJ8" t="s">
        <v>196</v>
      </c>
      <c r="AK8" t="s">
        <v>194</v>
      </c>
      <c r="AL8" t="s">
        <v>197</v>
      </c>
      <c r="AM8" t="s">
        <v>228</v>
      </c>
      <c r="AR8" t="s">
        <v>194</v>
      </c>
      <c r="AS8" t="s">
        <v>199</v>
      </c>
      <c r="AU8" t="s">
        <v>197</v>
      </c>
      <c r="AZ8" t="s">
        <v>194</v>
      </c>
      <c r="BA8" t="s">
        <v>200</v>
      </c>
      <c r="BB8" t="s">
        <v>201</v>
      </c>
      <c r="BD8" t="s">
        <v>200</v>
      </c>
      <c r="BE8" t="s">
        <v>229</v>
      </c>
      <c r="BF8" t="s">
        <v>197</v>
      </c>
      <c r="BG8" t="s">
        <v>269</v>
      </c>
      <c r="BH8" t="s">
        <v>270</v>
      </c>
      <c r="BJ8" t="s">
        <v>205</v>
      </c>
      <c r="BK8" t="s">
        <v>206</v>
      </c>
      <c r="BL8" t="s">
        <v>194</v>
      </c>
      <c r="BO8" t="s">
        <v>216</v>
      </c>
      <c r="BP8" t="s">
        <v>216</v>
      </c>
      <c r="BQ8" t="s">
        <v>271</v>
      </c>
      <c r="BR8" t="s">
        <v>232</v>
      </c>
      <c r="BT8" t="s">
        <v>197</v>
      </c>
      <c r="BV8" t="s">
        <v>233</v>
      </c>
      <c r="CA8" t="s">
        <v>194</v>
      </c>
      <c r="CB8" t="s">
        <v>194</v>
      </c>
      <c r="CC8" t="s">
        <v>264</v>
      </c>
      <c r="CD8" t="s">
        <v>265</v>
      </c>
      <c r="CE8" t="s">
        <v>266</v>
      </c>
      <c r="CF8" t="s">
        <v>215</v>
      </c>
      <c r="CH8" t="s">
        <v>214</v>
      </c>
      <c r="CI8" t="s">
        <v>214</v>
      </c>
      <c r="CJ8" t="s">
        <v>214</v>
      </c>
      <c r="CP8" t="s">
        <v>214</v>
      </c>
      <c r="CS8" t="s">
        <v>216</v>
      </c>
      <c r="CV8" t="s">
        <v>214</v>
      </c>
      <c r="CW8" t="s">
        <v>214</v>
      </c>
      <c r="CX8" t="s">
        <v>217</v>
      </c>
      <c r="CY8" t="s">
        <v>214</v>
      </c>
      <c r="DA8" t="s">
        <v>218</v>
      </c>
    </row>
    <row r="9" spans="1:184" x14ac:dyDescent="0.3">
      <c r="A9">
        <v>1223035</v>
      </c>
      <c r="B9">
        <v>609741</v>
      </c>
      <c r="C9" t="str">
        <f>"100516652444"</f>
        <v>100516652444</v>
      </c>
      <c r="D9" t="s">
        <v>272</v>
      </c>
      <c r="E9" t="s">
        <v>273</v>
      </c>
      <c r="F9" t="s">
        <v>274</v>
      </c>
      <c r="G9" s="1">
        <v>40314</v>
      </c>
      <c r="I9" t="s">
        <v>222</v>
      </c>
      <c r="J9" t="s">
        <v>188</v>
      </c>
      <c r="K9" t="s">
        <v>189</v>
      </c>
      <c r="Y9" t="str">
        <f>"2016-08-29T00:00:00"</f>
        <v>2016-08-29T00:00:00</v>
      </c>
      <c r="Z9" t="str">
        <f>"№39"</f>
        <v>№39</v>
      </c>
      <c r="AA9" t="s">
        <v>190</v>
      </c>
      <c r="AC9" t="s">
        <v>237</v>
      </c>
      <c r="AD9" t="s">
        <v>242</v>
      </c>
      <c r="AE9" t="s">
        <v>243</v>
      </c>
      <c r="AF9" t="s">
        <v>194</v>
      </c>
      <c r="AH9" t="s">
        <v>195</v>
      </c>
      <c r="AI9">
        <v>3</v>
      </c>
      <c r="AJ9" t="s">
        <v>196</v>
      </c>
      <c r="AK9" t="s">
        <v>194</v>
      </c>
      <c r="AL9" t="s">
        <v>197</v>
      </c>
      <c r="AM9" t="s">
        <v>198</v>
      </c>
      <c r="AR9" t="s">
        <v>194</v>
      </c>
      <c r="AS9" t="s">
        <v>199</v>
      </c>
      <c r="AU9" t="s">
        <v>197</v>
      </c>
      <c r="AZ9" t="s">
        <v>194</v>
      </c>
      <c r="BA9" t="s">
        <v>200</v>
      </c>
      <c r="BB9" t="s">
        <v>201</v>
      </c>
      <c r="BD9" t="s">
        <v>200</v>
      </c>
      <c r="BE9" t="s">
        <v>202</v>
      </c>
      <c r="BF9" t="s">
        <v>197</v>
      </c>
      <c r="BG9" t="s">
        <v>230</v>
      </c>
      <c r="BH9" t="s">
        <v>275</v>
      </c>
      <c r="BJ9" t="s">
        <v>205</v>
      </c>
      <c r="BK9" t="s">
        <v>206</v>
      </c>
      <c r="BL9" t="s">
        <v>194</v>
      </c>
      <c r="BO9" t="s">
        <v>216</v>
      </c>
      <c r="BP9" t="s">
        <v>216</v>
      </c>
      <c r="BR9" t="s">
        <v>232</v>
      </c>
      <c r="BT9" t="s">
        <v>197</v>
      </c>
      <c r="BV9" t="s">
        <v>233</v>
      </c>
      <c r="CA9" t="s">
        <v>194</v>
      </c>
      <c r="CB9" t="s">
        <v>214</v>
      </c>
      <c r="CF9" t="s">
        <v>215</v>
      </c>
      <c r="CH9" t="s">
        <v>214</v>
      </c>
      <c r="CI9" t="s">
        <v>214</v>
      </c>
      <c r="CJ9" t="s">
        <v>214</v>
      </c>
      <c r="CP9" t="s">
        <v>214</v>
      </c>
      <c r="CS9" t="s">
        <v>216</v>
      </c>
      <c r="CV9" t="s">
        <v>214</v>
      </c>
      <c r="CW9" t="s">
        <v>214</v>
      </c>
      <c r="CX9" t="s">
        <v>217</v>
      </c>
      <c r="CY9" t="s">
        <v>214</v>
      </c>
      <c r="DA9" t="s">
        <v>218</v>
      </c>
    </row>
    <row r="10" spans="1:184" x14ac:dyDescent="0.3">
      <c r="A10">
        <v>1223054</v>
      </c>
      <c r="B10">
        <v>42883</v>
      </c>
      <c r="C10" t="str">
        <f>"101025501437"</f>
        <v>101025501437</v>
      </c>
      <c r="D10" t="s">
        <v>276</v>
      </c>
      <c r="E10" t="s">
        <v>277</v>
      </c>
      <c r="F10" t="s">
        <v>278</v>
      </c>
      <c r="G10" s="1">
        <v>40476</v>
      </c>
      <c r="I10" t="s">
        <v>187</v>
      </c>
      <c r="J10" t="s">
        <v>188</v>
      </c>
      <c r="K10" t="s">
        <v>189</v>
      </c>
      <c r="Y10" t="str">
        <f>"2018-05-30T00:00:00"</f>
        <v>2018-05-30T00:00:00</v>
      </c>
      <c r="Z10" t="str">
        <f>"№16"</f>
        <v>№16</v>
      </c>
      <c r="AA10" t="s">
        <v>224</v>
      </c>
      <c r="AC10" t="s">
        <v>191</v>
      </c>
      <c r="AD10" t="s">
        <v>261</v>
      </c>
      <c r="AE10" t="s">
        <v>243</v>
      </c>
      <c r="AF10" t="s">
        <v>194</v>
      </c>
      <c r="AH10" t="s">
        <v>195</v>
      </c>
      <c r="AI10">
        <v>2</v>
      </c>
      <c r="AJ10" t="s">
        <v>196</v>
      </c>
      <c r="AK10" t="s">
        <v>194</v>
      </c>
      <c r="AL10" t="s">
        <v>197</v>
      </c>
      <c r="AM10" t="s">
        <v>198</v>
      </c>
      <c r="AR10" t="s">
        <v>194</v>
      </c>
      <c r="AS10" t="s">
        <v>199</v>
      </c>
      <c r="AU10" t="s">
        <v>197</v>
      </c>
      <c r="AZ10" t="s">
        <v>194</v>
      </c>
      <c r="BA10" t="s">
        <v>200</v>
      </c>
      <c r="BB10" t="s">
        <v>201</v>
      </c>
      <c r="BD10" t="s">
        <v>200</v>
      </c>
      <c r="BE10" t="s">
        <v>202</v>
      </c>
      <c r="BF10" t="s">
        <v>197</v>
      </c>
      <c r="BG10" t="s">
        <v>269</v>
      </c>
      <c r="BH10" t="s">
        <v>279</v>
      </c>
      <c r="BJ10" t="s">
        <v>205</v>
      </c>
      <c r="BK10" t="s">
        <v>206</v>
      </c>
      <c r="BL10" t="s">
        <v>194</v>
      </c>
      <c r="BO10" t="s">
        <v>216</v>
      </c>
      <c r="BP10" t="s">
        <v>216</v>
      </c>
      <c r="BQ10" t="s">
        <v>280</v>
      </c>
      <c r="BR10" t="s">
        <v>232</v>
      </c>
      <c r="BT10" t="s">
        <v>197</v>
      </c>
      <c r="BV10" t="s">
        <v>233</v>
      </c>
      <c r="CA10" t="s">
        <v>194</v>
      </c>
      <c r="CB10" t="s">
        <v>194</v>
      </c>
      <c r="CC10" t="s">
        <v>264</v>
      </c>
      <c r="CD10" t="s">
        <v>265</v>
      </c>
      <c r="CE10" t="s">
        <v>266</v>
      </c>
      <c r="CF10" t="s">
        <v>215</v>
      </c>
      <c r="CH10" t="s">
        <v>214</v>
      </c>
      <c r="CI10" t="s">
        <v>214</v>
      </c>
      <c r="CJ10" t="s">
        <v>214</v>
      </c>
      <c r="CP10" t="s">
        <v>214</v>
      </c>
      <c r="CS10" t="s">
        <v>216</v>
      </c>
      <c r="CV10" t="s">
        <v>214</v>
      </c>
      <c r="CW10" t="s">
        <v>214</v>
      </c>
      <c r="CX10" t="s">
        <v>217</v>
      </c>
      <c r="CY10" t="s">
        <v>214</v>
      </c>
      <c r="DA10" t="s">
        <v>218</v>
      </c>
    </row>
    <row r="11" spans="1:184" x14ac:dyDescent="0.3">
      <c r="A11">
        <v>1223110</v>
      </c>
      <c r="B11">
        <v>930007</v>
      </c>
      <c r="C11" t="str">
        <f>"110914600902"</f>
        <v>110914600902</v>
      </c>
      <c r="D11" t="s">
        <v>281</v>
      </c>
      <c r="E11" t="s">
        <v>282</v>
      </c>
      <c r="F11" t="s">
        <v>283</v>
      </c>
      <c r="G11" s="1">
        <v>40800</v>
      </c>
      <c r="I11" t="s">
        <v>222</v>
      </c>
      <c r="J11" t="s">
        <v>188</v>
      </c>
      <c r="K11" t="s">
        <v>284</v>
      </c>
      <c r="Y11" t="str">
        <f>"2018-08-06T00:00:00"</f>
        <v>2018-08-06T00:00:00</v>
      </c>
      <c r="Z11" t="str">
        <f>"№19"</f>
        <v>№19</v>
      </c>
      <c r="AA11" t="s">
        <v>224</v>
      </c>
      <c r="AC11" t="s">
        <v>191</v>
      </c>
      <c r="AD11" t="s">
        <v>285</v>
      </c>
      <c r="AE11" t="s">
        <v>227</v>
      </c>
      <c r="AF11" t="s">
        <v>194</v>
      </c>
      <c r="AH11" t="s">
        <v>195</v>
      </c>
      <c r="AI11">
        <v>1</v>
      </c>
      <c r="AJ11" t="s">
        <v>196</v>
      </c>
      <c r="AK11" t="s">
        <v>194</v>
      </c>
      <c r="AL11" t="s">
        <v>197</v>
      </c>
      <c r="AM11" t="s">
        <v>228</v>
      </c>
      <c r="AR11" t="s">
        <v>194</v>
      </c>
      <c r="AS11" t="s">
        <v>199</v>
      </c>
      <c r="AU11" t="s">
        <v>197</v>
      </c>
      <c r="AZ11" t="s">
        <v>194</v>
      </c>
      <c r="BA11" t="s">
        <v>200</v>
      </c>
      <c r="BB11" t="s">
        <v>201</v>
      </c>
      <c r="BD11" t="s">
        <v>200</v>
      </c>
      <c r="BE11" t="s">
        <v>229</v>
      </c>
      <c r="BF11" t="s">
        <v>197</v>
      </c>
      <c r="BG11" t="s">
        <v>269</v>
      </c>
      <c r="BH11" t="s">
        <v>270</v>
      </c>
      <c r="BJ11" t="s">
        <v>205</v>
      </c>
      <c r="BK11" t="s">
        <v>206</v>
      </c>
      <c r="BL11" t="s">
        <v>194</v>
      </c>
      <c r="BO11" t="s">
        <v>216</v>
      </c>
      <c r="BP11" t="s">
        <v>216</v>
      </c>
      <c r="BQ11" t="s">
        <v>286</v>
      </c>
      <c r="BR11" t="s">
        <v>232</v>
      </c>
      <c r="BT11" t="s">
        <v>197</v>
      </c>
      <c r="BV11" t="s">
        <v>233</v>
      </c>
      <c r="CA11" t="s">
        <v>194</v>
      </c>
      <c r="CB11" t="s">
        <v>194</v>
      </c>
      <c r="CC11" t="s">
        <v>264</v>
      </c>
      <c r="CD11" t="s">
        <v>265</v>
      </c>
      <c r="CE11" t="s">
        <v>266</v>
      </c>
      <c r="CF11" t="s">
        <v>215</v>
      </c>
      <c r="CH11" t="s">
        <v>214</v>
      </c>
      <c r="CI11" t="s">
        <v>214</v>
      </c>
      <c r="CJ11" t="s">
        <v>214</v>
      </c>
      <c r="CP11" t="s">
        <v>214</v>
      </c>
      <c r="CS11" t="s">
        <v>216</v>
      </c>
      <c r="CV11" t="s">
        <v>214</v>
      </c>
      <c r="CW11" t="s">
        <v>214</v>
      </c>
      <c r="CX11" t="s">
        <v>217</v>
      </c>
      <c r="CY11" t="s">
        <v>214</v>
      </c>
      <c r="DA11" t="s">
        <v>218</v>
      </c>
    </row>
    <row r="12" spans="1:184" x14ac:dyDescent="0.3">
      <c r="A12">
        <v>1223149</v>
      </c>
      <c r="B12">
        <v>930030</v>
      </c>
      <c r="C12" t="str">
        <f>"080311552586"</f>
        <v>080311552586</v>
      </c>
      <c r="D12" t="s">
        <v>287</v>
      </c>
      <c r="E12" t="s">
        <v>288</v>
      </c>
      <c r="F12" t="s">
        <v>289</v>
      </c>
      <c r="G12" s="1">
        <v>39518</v>
      </c>
      <c r="I12" t="s">
        <v>187</v>
      </c>
      <c r="J12" t="s">
        <v>188</v>
      </c>
      <c r="K12" t="s">
        <v>223</v>
      </c>
      <c r="Y12" t="str">
        <f>"2014-09-01T00:00:00"</f>
        <v>2014-09-01T00:00:00</v>
      </c>
      <c r="Z12" t="str">
        <f>"№76"</f>
        <v>№76</v>
      </c>
      <c r="AA12" t="s">
        <v>224</v>
      </c>
      <c r="AB12" t="str">
        <f>"akm_arshalu_novoaleksandrovka@mail.ru"</f>
        <v>akm_arshalu_novoaleksandrovka@mail.ru</v>
      </c>
      <c r="AC12" t="s">
        <v>237</v>
      </c>
      <c r="AD12" t="s">
        <v>192</v>
      </c>
      <c r="AE12" t="s">
        <v>227</v>
      </c>
      <c r="AF12" t="s">
        <v>194</v>
      </c>
      <c r="AH12" t="s">
        <v>195</v>
      </c>
      <c r="AI12">
        <v>2</v>
      </c>
      <c r="AJ12" t="s">
        <v>196</v>
      </c>
      <c r="AK12" t="s">
        <v>194</v>
      </c>
      <c r="AL12" t="s">
        <v>197</v>
      </c>
      <c r="AM12" t="s">
        <v>198</v>
      </c>
      <c r="AR12" t="s">
        <v>194</v>
      </c>
      <c r="AS12" t="s">
        <v>199</v>
      </c>
      <c r="AU12" t="s">
        <v>197</v>
      </c>
      <c r="AZ12" t="s">
        <v>194</v>
      </c>
      <c r="BA12" t="s">
        <v>200</v>
      </c>
      <c r="BB12" t="s">
        <v>201</v>
      </c>
      <c r="BD12" t="s">
        <v>200</v>
      </c>
      <c r="BE12" t="s">
        <v>229</v>
      </c>
      <c r="BF12" t="s">
        <v>197</v>
      </c>
      <c r="BG12" t="s">
        <v>290</v>
      </c>
      <c r="BH12" t="s">
        <v>291</v>
      </c>
      <c r="BJ12" t="s">
        <v>205</v>
      </c>
      <c r="BK12" t="s">
        <v>206</v>
      </c>
      <c r="BL12" t="s">
        <v>194</v>
      </c>
      <c r="BO12" t="s">
        <v>200</v>
      </c>
      <c r="BP12" t="s">
        <v>200</v>
      </c>
      <c r="BR12" t="s">
        <v>207</v>
      </c>
      <c r="BS12" t="s">
        <v>208</v>
      </c>
      <c r="BT12" t="s">
        <v>197</v>
      </c>
      <c r="BV12" t="s">
        <v>233</v>
      </c>
      <c r="CA12" t="s">
        <v>194</v>
      </c>
      <c r="CB12" t="s">
        <v>214</v>
      </c>
      <c r="CF12" t="s">
        <v>215</v>
      </c>
      <c r="CH12" t="s">
        <v>214</v>
      </c>
      <c r="CI12" t="s">
        <v>214</v>
      </c>
      <c r="CJ12" t="s">
        <v>214</v>
      </c>
      <c r="CP12" t="s">
        <v>214</v>
      </c>
      <c r="CS12" t="s">
        <v>216</v>
      </c>
      <c r="CV12" t="s">
        <v>214</v>
      </c>
      <c r="CW12" t="s">
        <v>214</v>
      </c>
      <c r="CX12" t="s">
        <v>217</v>
      </c>
      <c r="CY12" t="s">
        <v>214</v>
      </c>
      <c r="DA12" t="s">
        <v>218</v>
      </c>
    </row>
    <row r="13" spans="1:184" x14ac:dyDescent="0.3">
      <c r="A13">
        <v>1223163</v>
      </c>
      <c r="B13">
        <v>930039</v>
      </c>
      <c r="C13" t="str">
        <f>"090620651615"</f>
        <v>090620651615</v>
      </c>
      <c r="D13" t="s">
        <v>292</v>
      </c>
      <c r="E13" t="s">
        <v>293</v>
      </c>
      <c r="F13" t="s">
        <v>274</v>
      </c>
      <c r="G13" s="1">
        <v>39984</v>
      </c>
      <c r="I13" t="s">
        <v>222</v>
      </c>
      <c r="J13" t="s">
        <v>188</v>
      </c>
      <c r="K13" t="s">
        <v>189</v>
      </c>
      <c r="Y13" t="str">
        <f>"2018-08-31T00:00:00"</f>
        <v>2018-08-31T00:00:00</v>
      </c>
      <c r="Z13" t="str">
        <f>"№22"</f>
        <v>№22</v>
      </c>
      <c r="AA13" t="s">
        <v>224</v>
      </c>
      <c r="AC13" t="s">
        <v>225</v>
      </c>
      <c r="AD13" t="s">
        <v>242</v>
      </c>
      <c r="AE13" t="s">
        <v>243</v>
      </c>
      <c r="AF13" t="s">
        <v>194</v>
      </c>
      <c r="AH13" t="s">
        <v>195</v>
      </c>
      <c r="AI13">
        <v>1</v>
      </c>
      <c r="AJ13" t="s">
        <v>196</v>
      </c>
      <c r="AK13" t="s">
        <v>194</v>
      </c>
      <c r="AL13" t="s">
        <v>197</v>
      </c>
      <c r="AM13" t="s">
        <v>198</v>
      </c>
      <c r="AR13" t="s">
        <v>194</v>
      </c>
      <c r="AS13" t="s">
        <v>199</v>
      </c>
      <c r="AU13" t="s">
        <v>197</v>
      </c>
      <c r="AZ13" t="s">
        <v>194</v>
      </c>
      <c r="BA13" t="s">
        <v>200</v>
      </c>
      <c r="BB13" t="s">
        <v>201</v>
      </c>
      <c r="BD13" t="s">
        <v>200</v>
      </c>
      <c r="BE13" t="s">
        <v>202</v>
      </c>
      <c r="BF13" t="s">
        <v>197</v>
      </c>
      <c r="BG13" t="s">
        <v>230</v>
      </c>
      <c r="BH13" t="s">
        <v>294</v>
      </c>
      <c r="BJ13" t="s">
        <v>205</v>
      </c>
      <c r="BK13" t="s">
        <v>206</v>
      </c>
      <c r="BL13" t="s">
        <v>194</v>
      </c>
      <c r="BO13" t="s">
        <v>216</v>
      </c>
      <c r="BP13" t="s">
        <v>216</v>
      </c>
      <c r="BR13" t="s">
        <v>232</v>
      </c>
      <c r="BT13" t="s">
        <v>197</v>
      </c>
      <c r="BV13" t="s">
        <v>233</v>
      </c>
      <c r="CA13" t="s">
        <v>194</v>
      </c>
      <c r="CB13" t="s">
        <v>214</v>
      </c>
      <c r="CF13" t="s">
        <v>215</v>
      </c>
      <c r="CH13" t="s">
        <v>214</v>
      </c>
      <c r="CI13" t="s">
        <v>214</v>
      </c>
      <c r="CJ13" t="s">
        <v>214</v>
      </c>
      <c r="CP13" t="s">
        <v>214</v>
      </c>
      <c r="CS13" t="s">
        <v>216</v>
      </c>
      <c r="CV13" t="s">
        <v>214</v>
      </c>
      <c r="CW13" t="s">
        <v>214</v>
      </c>
      <c r="CX13" t="s">
        <v>217</v>
      </c>
      <c r="CY13" t="s">
        <v>214</v>
      </c>
      <c r="DA13" t="s">
        <v>218</v>
      </c>
    </row>
    <row r="14" spans="1:184" x14ac:dyDescent="0.3">
      <c r="A14">
        <v>1223268</v>
      </c>
      <c r="B14">
        <v>930107</v>
      </c>
      <c r="C14" t="str">
        <f>"090522553206"</f>
        <v>090522553206</v>
      </c>
      <c r="D14" t="s">
        <v>295</v>
      </c>
      <c r="E14" t="s">
        <v>296</v>
      </c>
      <c r="F14" t="s">
        <v>297</v>
      </c>
      <c r="G14" s="1">
        <v>39955</v>
      </c>
      <c r="I14" t="s">
        <v>187</v>
      </c>
      <c r="J14" t="s">
        <v>188</v>
      </c>
      <c r="K14" t="s">
        <v>298</v>
      </c>
      <c r="Y14" t="str">
        <f>"2016-08-29T00:00:00"</f>
        <v>2016-08-29T00:00:00</v>
      </c>
      <c r="Z14" t="str">
        <f>"№39"</f>
        <v>№39</v>
      </c>
      <c r="AA14" t="s">
        <v>190</v>
      </c>
      <c r="AC14" t="s">
        <v>237</v>
      </c>
      <c r="AD14" t="s">
        <v>242</v>
      </c>
      <c r="AE14" t="s">
        <v>243</v>
      </c>
      <c r="AF14" t="s">
        <v>194</v>
      </c>
      <c r="AH14" t="s">
        <v>195</v>
      </c>
      <c r="AI14">
        <v>1</v>
      </c>
      <c r="AJ14" t="s">
        <v>196</v>
      </c>
      <c r="AK14" t="s">
        <v>194</v>
      </c>
      <c r="AL14" t="s">
        <v>197</v>
      </c>
      <c r="AM14" t="s">
        <v>198</v>
      </c>
      <c r="AR14" t="s">
        <v>194</v>
      </c>
      <c r="AS14" t="s">
        <v>199</v>
      </c>
      <c r="AU14" t="s">
        <v>197</v>
      </c>
      <c r="AZ14" t="s">
        <v>194</v>
      </c>
      <c r="BA14" t="s">
        <v>200</v>
      </c>
      <c r="BB14" t="s">
        <v>201</v>
      </c>
      <c r="BD14" t="s">
        <v>200</v>
      </c>
      <c r="BE14" t="s">
        <v>229</v>
      </c>
      <c r="BF14" t="s">
        <v>197</v>
      </c>
      <c r="BG14" t="s">
        <v>230</v>
      </c>
      <c r="BH14" t="s">
        <v>299</v>
      </c>
      <c r="BJ14" t="s">
        <v>205</v>
      </c>
      <c r="BK14" t="s">
        <v>206</v>
      </c>
      <c r="BL14" t="s">
        <v>194</v>
      </c>
      <c r="BO14" t="s">
        <v>216</v>
      </c>
      <c r="BP14" t="s">
        <v>216</v>
      </c>
      <c r="BR14" t="s">
        <v>246</v>
      </c>
      <c r="BS14" t="s">
        <v>208</v>
      </c>
      <c r="BT14" t="s">
        <v>197</v>
      </c>
      <c r="BV14" t="s">
        <v>300</v>
      </c>
      <c r="BW14" t="s">
        <v>210</v>
      </c>
      <c r="BX14" t="s">
        <v>301</v>
      </c>
      <c r="BY14" t="s">
        <v>212</v>
      </c>
      <c r="BZ14" t="s">
        <v>302</v>
      </c>
      <c r="CA14" t="s">
        <v>194</v>
      </c>
      <c r="CB14" t="s">
        <v>214</v>
      </c>
      <c r="CF14" t="s">
        <v>215</v>
      </c>
      <c r="CH14" t="s">
        <v>214</v>
      </c>
      <c r="CI14" t="s">
        <v>214</v>
      </c>
      <c r="CJ14" t="s">
        <v>214</v>
      </c>
      <c r="CP14" t="s">
        <v>214</v>
      </c>
      <c r="CS14" t="s">
        <v>216</v>
      </c>
      <c r="CV14" t="s">
        <v>214</v>
      </c>
      <c r="CW14" t="s">
        <v>214</v>
      </c>
      <c r="CX14" t="s">
        <v>217</v>
      </c>
      <c r="CY14" t="s">
        <v>214</v>
      </c>
      <c r="DA14" t="s">
        <v>218</v>
      </c>
    </row>
    <row r="15" spans="1:184" x14ac:dyDescent="0.3">
      <c r="A15">
        <v>1223348</v>
      </c>
      <c r="B15">
        <v>930152</v>
      </c>
      <c r="C15" t="str">
        <f>"090522553088"</f>
        <v>090522553088</v>
      </c>
      <c r="D15" t="s">
        <v>303</v>
      </c>
      <c r="E15" t="s">
        <v>304</v>
      </c>
      <c r="F15" t="s">
        <v>305</v>
      </c>
      <c r="G15" s="1">
        <v>39955</v>
      </c>
      <c r="I15" t="s">
        <v>187</v>
      </c>
      <c r="J15" t="s">
        <v>188</v>
      </c>
      <c r="K15" t="s">
        <v>189</v>
      </c>
      <c r="Y15" t="str">
        <f>"2015-09-01T00:00:00"</f>
        <v>2015-09-01T00:00:00</v>
      </c>
      <c r="Z15" t="str">
        <f>"№46"</f>
        <v>№46</v>
      </c>
      <c r="AA15" t="s">
        <v>224</v>
      </c>
      <c r="AC15" t="s">
        <v>237</v>
      </c>
      <c r="AD15" t="s">
        <v>242</v>
      </c>
      <c r="AE15" t="s">
        <v>227</v>
      </c>
      <c r="AF15" t="s">
        <v>194</v>
      </c>
      <c r="AH15" t="s">
        <v>195</v>
      </c>
      <c r="AI15">
        <v>1</v>
      </c>
      <c r="AJ15" t="s">
        <v>196</v>
      </c>
      <c r="AK15" t="s">
        <v>194</v>
      </c>
      <c r="AL15" t="s">
        <v>197</v>
      </c>
      <c r="AM15" t="s">
        <v>198</v>
      </c>
      <c r="AQ15" t="str">
        <f>"2020-11-04T09:36:39"</f>
        <v>2020-11-04T09:36:39</v>
      </c>
      <c r="AR15" t="s">
        <v>194</v>
      </c>
      <c r="AS15" t="s">
        <v>199</v>
      </c>
      <c r="AU15" t="s">
        <v>197</v>
      </c>
      <c r="AZ15" t="s">
        <v>194</v>
      </c>
      <c r="BA15" t="s">
        <v>200</v>
      </c>
      <c r="BB15" t="s">
        <v>201</v>
      </c>
      <c r="BD15" t="s">
        <v>200</v>
      </c>
      <c r="BE15" t="s">
        <v>229</v>
      </c>
      <c r="BF15" t="s">
        <v>197</v>
      </c>
      <c r="BG15" t="s">
        <v>306</v>
      </c>
      <c r="BH15" t="s">
        <v>307</v>
      </c>
      <c r="BJ15" t="s">
        <v>205</v>
      </c>
      <c r="BK15" t="s">
        <v>206</v>
      </c>
      <c r="BL15" t="s">
        <v>194</v>
      </c>
      <c r="BO15" t="s">
        <v>200</v>
      </c>
      <c r="BP15" t="s">
        <v>200</v>
      </c>
      <c r="BR15" t="s">
        <v>246</v>
      </c>
      <c r="BS15" t="s">
        <v>208</v>
      </c>
      <c r="BT15" t="s">
        <v>197</v>
      </c>
      <c r="BV15" t="s">
        <v>233</v>
      </c>
      <c r="CA15" t="s">
        <v>194</v>
      </c>
      <c r="CB15" t="s">
        <v>214</v>
      </c>
      <c r="CF15" t="s">
        <v>215</v>
      </c>
      <c r="CH15" t="s">
        <v>214</v>
      </c>
      <c r="CI15" t="s">
        <v>214</v>
      </c>
      <c r="CJ15" t="s">
        <v>214</v>
      </c>
      <c r="CP15" t="s">
        <v>214</v>
      </c>
      <c r="CS15" t="s">
        <v>216</v>
      </c>
      <c r="CV15" t="s">
        <v>214</v>
      </c>
      <c r="CW15" t="s">
        <v>214</v>
      </c>
      <c r="CX15" t="s">
        <v>217</v>
      </c>
      <c r="CY15" t="s">
        <v>214</v>
      </c>
      <c r="DA15" t="s">
        <v>218</v>
      </c>
    </row>
    <row r="16" spans="1:184" x14ac:dyDescent="0.3">
      <c r="A16">
        <v>1223397</v>
      </c>
      <c r="B16">
        <v>930188</v>
      </c>
      <c r="C16" t="str">
        <f>"070530652442"</f>
        <v>070530652442</v>
      </c>
      <c r="D16" t="s">
        <v>308</v>
      </c>
      <c r="E16" t="s">
        <v>309</v>
      </c>
      <c r="F16" t="s">
        <v>236</v>
      </c>
      <c r="G16" s="1">
        <v>39232</v>
      </c>
      <c r="I16" t="s">
        <v>222</v>
      </c>
      <c r="J16" t="s">
        <v>188</v>
      </c>
      <c r="K16" t="s">
        <v>298</v>
      </c>
      <c r="Y16" t="str">
        <f>"2016-08-26T00:00:00"</f>
        <v>2016-08-26T00:00:00</v>
      </c>
      <c r="Z16" t="str">
        <f>"№38"</f>
        <v>№38</v>
      </c>
      <c r="AA16" t="s">
        <v>190</v>
      </c>
      <c r="AB16" t="str">
        <f t="shared" ref="AB16:AB28" si="0">"akm_arshalu_novoaleksandrovka@mail.ru"</f>
        <v>akm_arshalu_novoaleksandrovka@mail.ru</v>
      </c>
      <c r="AC16" t="s">
        <v>225</v>
      </c>
      <c r="AD16" t="s">
        <v>192</v>
      </c>
      <c r="AE16" t="s">
        <v>193</v>
      </c>
      <c r="AF16" t="s">
        <v>194</v>
      </c>
      <c r="AH16" t="s">
        <v>195</v>
      </c>
      <c r="AI16">
        <v>2</v>
      </c>
      <c r="AJ16" t="s">
        <v>196</v>
      </c>
      <c r="AK16" t="s">
        <v>194</v>
      </c>
      <c r="AL16" t="s">
        <v>197</v>
      </c>
      <c r="AM16" t="s">
        <v>198</v>
      </c>
      <c r="AR16" t="s">
        <v>194</v>
      </c>
      <c r="AS16" t="s">
        <v>199</v>
      </c>
      <c r="AU16" t="s">
        <v>197</v>
      </c>
      <c r="AZ16" t="s">
        <v>194</v>
      </c>
      <c r="BA16" t="s">
        <v>200</v>
      </c>
      <c r="BB16" t="s">
        <v>201</v>
      </c>
      <c r="BD16" t="s">
        <v>200</v>
      </c>
      <c r="BE16" t="s">
        <v>229</v>
      </c>
      <c r="BF16" t="s">
        <v>197</v>
      </c>
      <c r="BG16" t="s">
        <v>290</v>
      </c>
      <c r="BH16" t="s">
        <v>310</v>
      </c>
      <c r="BJ16" t="s">
        <v>205</v>
      </c>
      <c r="BK16" t="s">
        <v>206</v>
      </c>
      <c r="BL16" t="s">
        <v>194</v>
      </c>
      <c r="BO16" t="s">
        <v>216</v>
      </c>
      <c r="BP16" t="s">
        <v>216</v>
      </c>
      <c r="BR16" t="s">
        <v>207</v>
      </c>
      <c r="BS16" t="s">
        <v>208</v>
      </c>
      <c r="BT16" t="s">
        <v>197</v>
      </c>
      <c r="BV16" t="s">
        <v>233</v>
      </c>
      <c r="CA16" t="s">
        <v>194</v>
      </c>
      <c r="CB16" t="s">
        <v>214</v>
      </c>
      <c r="CF16" t="s">
        <v>215</v>
      </c>
      <c r="CH16" t="s">
        <v>214</v>
      </c>
      <c r="CI16" t="s">
        <v>214</v>
      </c>
      <c r="CJ16" t="s">
        <v>214</v>
      </c>
      <c r="CP16" t="s">
        <v>214</v>
      </c>
      <c r="CS16" t="s">
        <v>216</v>
      </c>
      <c r="CV16" t="s">
        <v>214</v>
      </c>
      <c r="CW16" t="s">
        <v>214</v>
      </c>
      <c r="CX16" t="s">
        <v>217</v>
      </c>
      <c r="CY16" t="s">
        <v>214</v>
      </c>
      <c r="DA16" t="s">
        <v>218</v>
      </c>
    </row>
    <row r="17" spans="1:105" x14ac:dyDescent="0.3">
      <c r="A17">
        <v>1224073</v>
      </c>
      <c r="B17">
        <v>930604</v>
      </c>
      <c r="C17" t="str">
        <f>"070623551344"</f>
        <v>070623551344</v>
      </c>
      <c r="D17" t="s">
        <v>311</v>
      </c>
      <c r="E17" t="s">
        <v>312</v>
      </c>
      <c r="F17" t="s">
        <v>313</v>
      </c>
      <c r="G17" s="1">
        <v>39256</v>
      </c>
      <c r="I17" t="s">
        <v>187</v>
      </c>
      <c r="J17" t="s">
        <v>188</v>
      </c>
      <c r="K17" t="s">
        <v>189</v>
      </c>
      <c r="Y17" t="str">
        <f>"2013-09-02T00:00:00"</f>
        <v>2013-09-02T00:00:00</v>
      </c>
      <c r="Z17" t="str">
        <f>"№1"</f>
        <v>№1</v>
      </c>
      <c r="AA17" t="s">
        <v>314</v>
      </c>
      <c r="AB17" t="str">
        <f t="shared" si="0"/>
        <v>akm_arshalu_novoaleksandrovka@mail.ru</v>
      </c>
      <c r="AC17" t="s">
        <v>237</v>
      </c>
      <c r="AD17" t="s">
        <v>192</v>
      </c>
      <c r="AE17" t="s">
        <v>193</v>
      </c>
      <c r="AF17" t="s">
        <v>194</v>
      </c>
      <c r="AH17" t="s">
        <v>195</v>
      </c>
      <c r="AI17">
        <v>2</v>
      </c>
      <c r="AJ17" t="s">
        <v>196</v>
      </c>
      <c r="AK17" t="s">
        <v>194</v>
      </c>
      <c r="AL17" t="s">
        <v>197</v>
      </c>
      <c r="AM17" t="s">
        <v>198</v>
      </c>
      <c r="AR17" t="s">
        <v>194</v>
      </c>
      <c r="AS17" t="s">
        <v>199</v>
      </c>
      <c r="AU17" t="s">
        <v>197</v>
      </c>
      <c r="AZ17" t="s">
        <v>194</v>
      </c>
      <c r="BA17" t="s">
        <v>200</v>
      </c>
      <c r="BB17" t="s">
        <v>201</v>
      </c>
      <c r="BD17" t="s">
        <v>200</v>
      </c>
      <c r="BE17" t="s">
        <v>202</v>
      </c>
      <c r="BF17" t="s">
        <v>197</v>
      </c>
      <c r="BG17" t="s">
        <v>238</v>
      </c>
      <c r="BH17">
        <v>3</v>
      </c>
      <c r="BJ17" t="s">
        <v>205</v>
      </c>
      <c r="BK17" t="s">
        <v>206</v>
      </c>
      <c r="BL17" t="s">
        <v>194</v>
      </c>
      <c r="BO17" t="s">
        <v>200</v>
      </c>
      <c r="BP17" t="s">
        <v>200</v>
      </c>
      <c r="BR17" t="s">
        <v>232</v>
      </c>
      <c r="BT17" t="s">
        <v>197</v>
      </c>
      <c r="BV17" t="s">
        <v>233</v>
      </c>
      <c r="CA17" t="s">
        <v>194</v>
      </c>
      <c r="CB17" t="s">
        <v>214</v>
      </c>
      <c r="CF17" t="s">
        <v>215</v>
      </c>
      <c r="CH17" t="s">
        <v>214</v>
      </c>
      <c r="CI17" t="s">
        <v>214</v>
      </c>
      <c r="CJ17" t="s">
        <v>214</v>
      </c>
      <c r="CP17" t="s">
        <v>214</v>
      </c>
      <c r="CS17" t="s">
        <v>216</v>
      </c>
      <c r="CV17" t="s">
        <v>214</v>
      </c>
      <c r="CW17" t="s">
        <v>214</v>
      </c>
      <c r="CX17" t="s">
        <v>217</v>
      </c>
      <c r="CY17" t="s">
        <v>214</v>
      </c>
      <c r="DA17" t="s">
        <v>218</v>
      </c>
    </row>
    <row r="18" spans="1:105" x14ac:dyDescent="0.3">
      <c r="A18">
        <v>1224094</v>
      </c>
      <c r="B18">
        <v>930614</v>
      </c>
      <c r="C18" t="str">
        <f>"070810554137"</f>
        <v>070810554137</v>
      </c>
      <c r="D18" t="s">
        <v>315</v>
      </c>
      <c r="E18" t="s">
        <v>288</v>
      </c>
      <c r="F18" t="s">
        <v>316</v>
      </c>
      <c r="G18" s="1">
        <v>39304</v>
      </c>
      <c r="I18" t="s">
        <v>187</v>
      </c>
      <c r="J18" t="s">
        <v>188</v>
      </c>
      <c r="K18" t="s">
        <v>223</v>
      </c>
      <c r="Y18" t="str">
        <f>"2013-09-02T00:00:00"</f>
        <v>2013-09-02T00:00:00</v>
      </c>
      <c r="Z18" t="str">
        <f>"№1"</f>
        <v>№1</v>
      </c>
      <c r="AA18" t="s">
        <v>224</v>
      </c>
      <c r="AB18" t="str">
        <f t="shared" si="0"/>
        <v>akm_arshalu_novoaleksandrovka@mail.ru</v>
      </c>
      <c r="AC18" t="s">
        <v>237</v>
      </c>
      <c r="AD18" t="s">
        <v>192</v>
      </c>
      <c r="AE18" t="s">
        <v>193</v>
      </c>
      <c r="AF18" t="s">
        <v>194</v>
      </c>
      <c r="AH18" t="s">
        <v>195</v>
      </c>
      <c r="AI18">
        <v>2</v>
      </c>
      <c r="AJ18" t="s">
        <v>196</v>
      </c>
      <c r="AK18" t="s">
        <v>194</v>
      </c>
      <c r="AL18" t="s">
        <v>197</v>
      </c>
      <c r="AM18" t="s">
        <v>198</v>
      </c>
      <c r="AQ18" t="str">
        <f>"2020-11-04T10:05:32"</f>
        <v>2020-11-04T10:05:32</v>
      </c>
      <c r="AR18" t="s">
        <v>194</v>
      </c>
      <c r="AS18" t="s">
        <v>199</v>
      </c>
      <c r="AU18" t="s">
        <v>197</v>
      </c>
      <c r="AZ18" t="s">
        <v>194</v>
      </c>
      <c r="BA18" t="s">
        <v>200</v>
      </c>
      <c r="BB18" t="s">
        <v>201</v>
      </c>
      <c r="BC18" t="s">
        <v>317</v>
      </c>
      <c r="BD18" t="s">
        <v>200</v>
      </c>
      <c r="BE18" t="s">
        <v>202</v>
      </c>
      <c r="BF18" t="s">
        <v>197</v>
      </c>
      <c r="BG18" t="s">
        <v>203</v>
      </c>
      <c r="BH18" t="s">
        <v>318</v>
      </c>
      <c r="BJ18" t="s">
        <v>205</v>
      </c>
      <c r="BK18" t="s">
        <v>206</v>
      </c>
      <c r="BL18" t="s">
        <v>194</v>
      </c>
      <c r="BO18" t="s">
        <v>200</v>
      </c>
      <c r="BP18" t="s">
        <v>200</v>
      </c>
      <c r="BR18" t="s">
        <v>232</v>
      </c>
      <c r="BT18" t="s">
        <v>197</v>
      </c>
      <c r="BV18" t="s">
        <v>233</v>
      </c>
      <c r="CA18" t="s">
        <v>194</v>
      </c>
      <c r="CB18" t="s">
        <v>214</v>
      </c>
      <c r="CF18" t="s">
        <v>215</v>
      </c>
      <c r="CH18" t="s">
        <v>214</v>
      </c>
      <c r="CI18" t="s">
        <v>214</v>
      </c>
      <c r="CJ18" t="s">
        <v>214</v>
      </c>
      <c r="CP18" t="s">
        <v>214</v>
      </c>
      <c r="CS18" t="s">
        <v>216</v>
      </c>
      <c r="CV18" t="s">
        <v>214</v>
      </c>
      <c r="CW18" t="s">
        <v>214</v>
      </c>
      <c r="CX18" t="s">
        <v>217</v>
      </c>
      <c r="CY18" t="s">
        <v>214</v>
      </c>
      <c r="DA18" t="s">
        <v>218</v>
      </c>
    </row>
    <row r="19" spans="1:105" x14ac:dyDescent="0.3">
      <c r="A19">
        <v>1224121</v>
      </c>
      <c r="B19">
        <v>930630</v>
      </c>
      <c r="C19" t="str">
        <f>"070829550811"</f>
        <v>070829550811</v>
      </c>
      <c r="D19" t="s">
        <v>319</v>
      </c>
      <c r="E19" t="s">
        <v>320</v>
      </c>
      <c r="F19" t="s">
        <v>289</v>
      </c>
      <c r="G19" s="1">
        <v>39323</v>
      </c>
      <c r="I19" t="s">
        <v>187</v>
      </c>
      <c r="J19" t="s">
        <v>188</v>
      </c>
      <c r="K19" t="s">
        <v>223</v>
      </c>
      <c r="Y19" t="str">
        <f>"2016-08-26T00:00:00"</f>
        <v>2016-08-26T00:00:00</v>
      </c>
      <c r="Z19" t="str">
        <f>"№38"</f>
        <v>№38</v>
      </c>
      <c r="AA19" t="s">
        <v>190</v>
      </c>
      <c r="AB19" t="str">
        <f t="shared" si="0"/>
        <v>akm_arshalu_novoaleksandrovka@mail.ru</v>
      </c>
      <c r="AC19" t="s">
        <v>237</v>
      </c>
      <c r="AD19" t="s">
        <v>192</v>
      </c>
      <c r="AE19" t="s">
        <v>193</v>
      </c>
      <c r="AF19" t="s">
        <v>194</v>
      </c>
      <c r="AH19" t="s">
        <v>195</v>
      </c>
      <c r="AI19">
        <v>2</v>
      </c>
      <c r="AJ19" t="s">
        <v>196</v>
      </c>
      <c r="AK19" t="s">
        <v>194</v>
      </c>
      <c r="AL19" t="s">
        <v>197</v>
      </c>
      <c r="AM19" t="s">
        <v>198</v>
      </c>
      <c r="AR19" t="s">
        <v>194</v>
      </c>
      <c r="AS19" t="s">
        <v>199</v>
      </c>
      <c r="AU19" t="s">
        <v>197</v>
      </c>
      <c r="AZ19" t="s">
        <v>194</v>
      </c>
      <c r="BA19" t="s">
        <v>200</v>
      </c>
      <c r="BB19" t="s">
        <v>201</v>
      </c>
      <c r="BD19" t="s">
        <v>200</v>
      </c>
      <c r="BE19" t="s">
        <v>202</v>
      </c>
      <c r="BF19" t="s">
        <v>197</v>
      </c>
      <c r="BG19" t="s">
        <v>238</v>
      </c>
      <c r="BH19">
        <v>3</v>
      </c>
      <c r="BJ19" t="s">
        <v>205</v>
      </c>
      <c r="BK19" t="s">
        <v>206</v>
      </c>
      <c r="BL19" t="s">
        <v>194</v>
      </c>
      <c r="BO19" t="s">
        <v>200</v>
      </c>
      <c r="BP19" t="s">
        <v>200</v>
      </c>
      <c r="BR19" t="s">
        <v>207</v>
      </c>
      <c r="BS19" t="s">
        <v>208</v>
      </c>
      <c r="BT19" t="s">
        <v>197</v>
      </c>
      <c r="BV19" t="s">
        <v>233</v>
      </c>
      <c r="CA19" t="s">
        <v>194</v>
      </c>
      <c r="CB19" t="s">
        <v>214</v>
      </c>
      <c r="CF19" t="s">
        <v>215</v>
      </c>
      <c r="CH19" t="s">
        <v>214</v>
      </c>
      <c r="CI19" t="s">
        <v>214</v>
      </c>
      <c r="CJ19" t="s">
        <v>214</v>
      </c>
      <c r="CP19" t="s">
        <v>214</v>
      </c>
      <c r="CS19" t="s">
        <v>216</v>
      </c>
      <c r="CV19" t="s">
        <v>214</v>
      </c>
      <c r="CW19" t="s">
        <v>214</v>
      </c>
      <c r="CX19" t="s">
        <v>217</v>
      </c>
      <c r="CY19" t="s">
        <v>214</v>
      </c>
      <c r="DA19" t="s">
        <v>218</v>
      </c>
    </row>
    <row r="20" spans="1:105" x14ac:dyDescent="0.3">
      <c r="A20">
        <v>1224150</v>
      </c>
      <c r="B20">
        <v>930651</v>
      </c>
      <c r="C20" t="str">
        <f>"071207552571"</f>
        <v>071207552571</v>
      </c>
      <c r="D20" t="s">
        <v>321</v>
      </c>
      <c r="E20" t="s">
        <v>322</v>
      </c>
      <c r="F20" t="s">
        <v>323</v>
      </c>
      <c r="G20" s="1">
        <v>39423</v>
      </c>
      <c r="I20" t="s">
        <v>187</v>
      </c>
      <c r="J20" t="s">
        <v>188</v>
      </c>
      <c r="K20" t="s">
        <v>223</v>
      </c>
      <c r="Y20" t="str">
        <f t="shared" ref="Y20:Y28" si="1">"2013-09-02T00:00:00"</f>
        <v>2013-09-02T00:00:00</v>
      </c>
      <c r="Z20" t="str">
        <f t="shared" ref="Z20:Z28" si="2">"№1"</f>
        <v>№1</v>
      </c>
      <c r="AA20" t="s">
        <v>324</v>
      </c>
      <c r="AB20" t="str">
        <f t="shared" si="0"/>
        <v>akm_arshalu_novoaleksandrovka@mail.ru</v>
      </c>
      <c r="AC20" t="s">
        <v>225</v>
      </c>
      <c r="AD20" t="s">
        <v>192</v>
      </c>
      <c r="AE20" t="s">
        <v>227</v>
      </c>
      <c r="AF20" t="s">
        <v>194</v>
      </c>
      <c r="AH20" t="s">
        <v>195</v>
      </c>
      <c r="AI20">
        <v>2</v>
      </c>
      <c r="AJ20" t="s">
        <v>196</v>
      </c>
      <c r="AK20" t="s">
        <v>194</v>
      </c>
      <c r="AL20" t="s">
        <v>197</v>
      </c>
      <c r="AM20" t="s">
        <v>198</v>
      </c>
      <c r="AR20" t="s">
        <v>194</v>
      </c>
      <c r="AS20" t="s">
        <v>199</v>
      </c>
      <c r="AU20" t="s">
        <v>197</v>
      </c>
      <c r="AZ20" t="s">
        <v>194</v>
      </c>
      <c r="BA20" t="s">
        <v>200</v>
      </c>
      <c r="BB20" t="s">
        <v>201</v>
      </c>
      <c r="BD20" t="s">
        <v>200</v>
      </c>
      <c r="BE20" t="s">
        <v>202</v>
      </c>
      <c r="BF20" t="s">
        <v>197</v>
      </c>
      <c r="BG20" t="s">
        <v>238</v>
      </c>
      <c r="BH20">
        <v>3</v>
      </c>
      <c r="BJ20" t="s">
        <v>205</v>
      </c>
      <c r="BK20" t="s">
        <v>206</v>
      </c>
      <c r="BL20" t="s">
        <v>194</v>
      </c>
      <c r="BO20" t="s">
        <v>200</v>
      </c>
      <c r="BP20" t="s">
        <v>200</v>
      </c>
      <c r="BR20" t="s">
        <v>232</v>
      </c>
      <c r="BT20" t="s">
        <v>197</v>
      </c>
      <c r="BV20" t="s">
        <v>233</v>
      </c>
      <c r="CA20" t="s">
        <v>194</v>
      </c>
      <c r="CB20" t="s">
        <v>214</v>
      </c>
      <c r="CF20" t="s">
        <v>215</v>
      </c>
      <c r="CH20" t="s">
        <v>214</v>
      </c>
      <c r="CI20" t="s">
        <v>214</v>
      </c>
      <c r="CJ20" t="s">
        <v>214</v>
      </c>
      <c r="CP20" t="s">
        <v>214</v>
      </c>
      <c r="CS20" t="s">
        <v>216</v>
      </c>
      <c r="CV20" t="s">
        <v>214</v>
      </c>
      <c r="CW20" t="s">
        <v>214</v>
      </c>
      <c r="CX20" t="s">
        <v>217</v>
      </c>
      <c r="CY20" t="s">
        <v>214</v>
      </c>
      <c r="DA20" t="s">
        <v>218</v>
      </c>
    </row>
    <row r="21" spans="1:105" x14ac:dyDescent="0.3">
      <c r="A21">
        <v>1224199</v>
      </c>
      <c r="B21">
        <v>930678</v>
      </c>
      <c r="C21" t="str">
        <f>"071017653404"</f>
        <v>071017653404</v>
      </c>
      <c r="D21" t="s">
        <v>325</v>
      </c>
      <c r="E21" t="s">
        <v>326</v>
      </c>
      <c r="F21" t="s">
        <v>327</v>
      </c>
      <c r="G21" s="1">
        <v>39372</v>
      </c>
      <c r="I21" t="s">
        <v>222</v>
      </c>
      <c r="J21" t="s">
        <v>188</v>
      </c>
      <c r="K21" t="s">
        <v>260</v>
      </c>
      <c r="Y21" t="str">
        <f t="shared" si="1"/>
        <v>2013-09-02T00:00:00</v>
      </c>
      <c r="Z21" t="str">
        <f t="shared" si="2"/>
        <v>№1</v>
      </c>
      <c r="AA21" t="s">
        <v>224</v>
      </c>
      <c r="AB21" t="str">
        <f t="shared" si="0"/>
        <v>akm_arshalu_novoaleksandrovka@mail.ru</v>
      </c>
      <c r="AC21" t="s">
        <v>225</v>
      </c>
      <c r="AD21" t="s">
        <v>192</v>
      </c>
      <c r="AE21" t="s">
        <v>227</v>
      </c>
      <c r="AF21" t="s">
        <v>194</v>
      </c>
      <c r="AH21" t="s">
        <v>195</v>
      </c>
      <c r="AI21">
        <v>2</v>
      </c>
      <c r="AJ21" t="s">
        <v>196</v>
      </c>
      <c r="AK21" t="s">
        <v>194</v>
      </c>
      <c r="AL21" t="s">
        <v>197</v>
      </c>
      <c r="AM21" t="s">
        <v>198</v>
      </c>
      <c r="AQ21" t="str">
        <f>"2020-11-11T13:26:40"</f>
        <v>2020-11-11T13:26:40</v>
      </c>
      <c r="AR21" t="s">
        <v>194</v>
      </c>
      <c r="AS21" t="s">
        <v>199</v>
      </c>
      <c r="AU21" t="s">
        <v>197</v>
      </c>
      <c r="AZ21" t="s">
        <v>194</v>
      </c>
      <c r="BA21" t="s">
        <v>200</v>
      </c>
      <c r="BB21" t="s">
        <v>201</v>
      </c>
      <c r="BD21" t="s">
        <v>200</v>
      </c>
      <c r="BE21" t="s">
        <v>202</v>
      </c>
      <c r="BF21" t="s">
        <v>197</v>
      </c>
      <c r="BG21" t="s">
        <v>290</v>
      </c>
      <c r="BH21" t="s">
        <v>328</v>
      </c>
      <c r="BJ21" t="s">
        <v>205</v>
      </c>
      <c r="BK21" t="s">
        <v>206</v>
      </c>
      <c r="BL21" t="s">
        <v>194</v>
      </c>
      <c r="BO21" t="s">
        <v>216</v>
      </c>
      <c r="BP21" t="s">
        <v>216</v>
      </c>
      <c r="BR21" t="s">
        <v>232</v>
      </c>
      <c r="BT21" t="s">
        <v>197</v>
      </c>
      <c r="BV21" t="s">
        <v>233</v>
      </c>
      <c r="CA21" t="s">
        <v>194</v>
      </c>
      <c r="CB21" t="s">
        <v>214</v>
      </c>
      <c r="CF21" t="s">
        <v>215</v>
      </c>
      <c r="CH21" t="s">
        <v>214</v>
      </c>
      <c r="CI21" t="s">
        <v>214</v>
      </c>
      <c r="CJ21" t="s">
        <v>214</v>
      </c>
      <c r="CP21" t="s">
        <v>214</v>
      </c>
      <c r="CS21" t="s">
        <v>216</v>
      </c>
      <c r="CV21" t="s">
        <v>214</v>
      </c>
      <c r="CW21" t="s">
        <v>214</v>
      </c>
      <c r="CX21" t="s">
        <v>217</v>
      </c>
      <c r="CY21" t="s">
        <v>214</v>
      </c>
      <c r="DA21" t="s">
        <v>218</v>
      </c>
    </row>
    <row r="22" spans="1:105" x14ac:dyDescent="0.3">
      <c r="A22">
        <v>1224221</v>
      </c>
      <c r="B22">
        <v>930688</v>
      </c>
      <c r="C22" t="str">
        <f>"071218651242"</f>
        <v>071218651242</v>
      </c>
      <c r="D22" t="s">
        <v>329</v>
      </c>
      <c r="E22" t="s">
        <v>330</v>
      </c>
      <c r="F22" t="s">
        <v>236</v>
      </c>
      <c r="G22" s="1">
        <v>39434</v>
      </c>
      <c r="I22" t="s">
        <v>222</v>
      </c>
      <c r="J22" t="s">
        <v>188</v>
      </c>
      <c r="K22" t="s">
        <v>223</v>
      </c>
      <c r="Y22" t="str">
        <f t="shared" si="1"/>
        <v>2013-09-02T00:00:00</v>
      </c>
      <c r="Z22" t="str">
        <f t="shared" si="2"/>
        <v>№1</v>
      </c>
      <c r="AA22" t="s">
        <v>331</v>
      </c>
      <c r="AB22" t="str">
        <f t="shared" si="0"/>
        <v>akm_arshalu_novoaleksandrovka@mail.ru</v>
      </c>
      <c r="AC22" t="s">
        <v>225</v>
      </c>
      <c r="AD22" t="s">
        <v>192</v>
      </c>
      <c r="AE22" t="s">
        <v>227</v>
      </c>
      <c r="AF22" t="s">
        <v>194</v>
      </c>
      <c r="AH22" t="s">
        <v>195</v>
      </c>
      <c r="AI22">
        <v>2</v>
      </c>
      <c r="AJ22" t="s">
        <v>196</v>
      </c>
      <c r="AK22" t="s">
        <v>194</v>
      </c>
      <c r="AL22" t="s">
        <v>197</v>
      </c>
      <c r="AM22" t="s">
        <v>198</v>
      </c>
      <c r="AR22" t="s">
        <v>194</v>
      </c>
      <c r="AS22" t="s">
        <v>199</v>
      </c>
      <c r="AU22" t="s">
        <v>197</v>
      </c>
      <c r="AZ22" t="s">
        <v>194</v>
      </c>
      <c r="BA22" t="s">
        <v>200</v>
      </c>
      <c r="BB22" t="s">
        <v>201</v>
      </c>
      <c r="BD22" t="s">
        <v>200</v>
      </c>
      <c r="BE22" t="s">
        <v>229</v>
      </c>
      <c r="BF22" t="s">
        <v>197</v>
      </c>
      <c r="BG22" t="s">
        <v>238</v>
      </c>
      <c r="BH22">
        <v>4</v>
      </c>
      <c r="BJ22" t="s">
        <v>205</v>
      </c>
      <c r="BK22" t="s">
        <v>206</v>
      </c>
      <c r="BL22" t="s">
        <v>194</v>
      </c>
      <c r="BO22" t="s">
        <v>200</v>
      </c>
      <c r="BP22" t="s">
        <v>200</v>
      </c>
      <c r="BR22" t="s">
        <v>232</v>
      </c>
      <c r="BT22" t="s">
        <v>197</v>
      </c>
      <c r="BV22" t="s">
        <v>233</v>
      </c>
      <c r="CA22" t="s">
        <v>194</v>
      </c>
      <c r="CB22" t="s">
        <v>214</v>
      </c>
      <c r="CF22" t="s">
        <v>215</v>
      </c>
      <c r="CH22" t="s">
        <v>214</v>
      </c>
      <c r="CI22" t="s">
        <v>214</v>
      </c>
      <c r="CJ22" t="s">
        <v>214</v>
      </c>
      <c r="CP22" t="s">
        <v>214</v>
      </c>
      <c r="CS22" t="s">
        <v>216</v>
      </c>
      <c r="CV22" t="s">
        <v>214</v>
      </c>
      <c r="CW22" t="s">
        <v>214</v>
      </c>
      <c r="CX22" t="s">
        <v>217</v>
      </c>
      <c r="CY22" t="s">
        <v>214</v>
      </c>
      <c r="DA22" t="s">
        <v>218</v>
      </c>
    </row>
    <row r="23" spans="1:105" x14ac:dyDescent="0.3">
      <c r="A23">
        <v>1224230</v>
      </c>
      <c r="B23">
        <v>930699</v>
      </c>
      <c r="C23" t="str">
        <f>"070707651892"</f>
        <v>070707651892</v>
      </c>
      <c r="D23" t="s">
        <v>332</v>
      </c>
      <c r="E23" t="s">
        <v>333</v>
      </c>
      <c r="F23" t="s">
        <v>334</v>
      </c>
      <c r="G23" s="1">
        <v>39270</v>
      </c>
      <c r="I23" t="s">
        <v>222</v>
      </c>
      <c r="J23" t="s">
        <v>188</v>
      </c>
      <c r="K23" t="s">
        <v>189</v>
      </c>
      <c r="Y23" t="str">
        <f t="shared" si="1"/>
        <v>2013-09-02T00:00:00</v>
      </c>
      <c r="Z23" t="str">
        <f t="shared" si="2"/>
        <v>№1</v>
      </c>
      <c r="AA23" t="s">
        <v>331</v>
      </c>
      <c r="AB23" t="str">
        <f t="shared" si="0"/>
        <v>akm_arshalu_novoaleksandrovka@mail.ru</v>
      </c>
      <c r="AC23" t="s">
        <v>225</v>
      </c>
      <c r="AD23" t="s">
        <v>192</v>
      </c>
      <c r="AE23" t="s">
        <v>193</v>
      </c>
      <c r="AF23" t="s">
        <v>194</v>
      </c>
      <c r="AH23" t="s">
        <v>195</v>
      </c>
      <c r="AI23">
        <v>2</v>
      </c>
      <c r="AJ23" t="s">
        <v>196</v>
      </c>
      <c r="AK23" t="s">
        <v>194</v>
      </c>
      <c r="AL23" t="s">
        <v>197</v>
      </c>
      <c r="AM23" t="s">
        <v>198</v>
      </c>
      <c r="AR23" t="s">
        <v>194</v>
      </c>
      <c r="AS23" t="s">
        <v>199</v>
      </c>
      <c r="AU23" t="s">
        <v>197</v>
      </c>
      <c r="AZ23" t="s">
        <v>194</v>
      </c>
      <c r="BA23" t="s">
        <v>200</v>
      </c>
      <c r="BB23" t="s">
        <v>201</v>
      </c>
      <c r="BD23" t="s">
        <v>200</v>
      </c>
      <c r="BE23" t="s">
        <v>229</v>
      </c>
      <c r="BF23" t="s">
        <v>197</v>
      </c>
      <c r="BG23" t="s">
        <v>238</v>
      </c>
      <c r="BH23">
        <v>4</v>
      </c>
      <c r="BJ23" t="s">
        <v>205</v>
      </c>
      <c r="BK23" t="s">
        <v>206</v>
      </c>
      <c r="BL23" t="s">
        <v>194</v>
      </c>
      <c r="BO23" t="s">
        <v>200</v>
      </c>
      <c r="BP23" t="s">
        <v>200</v>
      </c>
      <c r="BR23" t="s">
        <v>232</v>
      </c>
      <c r="BT23" t="s">
        <v>197</v>
      </c>
      <c r="BV23" t="s">
        <v>233</v>
      </c>
      <c r="CA23" t="s">
        <v>194</v>
      </c>
      <c r="CB23" t="s">
        <v>214</v>
      </c>
      <c r="CF23" t="s">
        <v>215</v>
      </c>
      <c r="CH23" t="s">
        <v>214</v>
      </c>
      <c r="CI23" t="s">
        <v>214</v>
      </c>
      <c r="CJ23" t="s">
        <v>214</v>
      </c>
      <c r="CP23" t="s">
        <v>214</v>
      </c>
      <c r="CS23" t="s">
        <v>216</v>
      </c>
      <c r="CV23" t="s">
        <v>214</v>
      </c>
      <c r="CW23" t="s">
        <v>214</v>
      </c>
      <c r="CX23" t="s">
        <v>217</v>
      </c>
      <c r="CY23" t="s">
        <v>214</v>
      </c>
      <c r="DA23" t="s">
        <v>218</v>
      </c>
    </row>
    <row r="24" spans="1:105" x14ac:dyDescent="0.3">
      <c r="A24">
        <v>1224250</v>
      </c>
      <c r="B24">
        <v>930705</v>
      </c>
      <c r="C24" t="str">
        <f>"070610000042"</f>
        <v>070610000042</v>
      </c>
      <c r="D24" t="s">
        <v>335</v>
      </c>
      <c r="E24" t="s">
        <v>220</v>
      </c>
      <c r="F24" t="s">
        <v>336</v>
      </c>
      <c r="G24" s="1">
        <v>39243</v>
      </c>
      <c r="I24" t="s">
        <v>222</v>
      </c>
      <c r="J24" t="s">
        <v>337</v>
      </c>
      <c r="K24" t="s">
        <v>338</v>
      </c>
      <c r="L24" t="s">
        <v>214</v>
      </c>
      <c r="Y24" t="str">
        <f t="shared" si="1"/>
        <v>2013-09-02T00:00:00</v>
      </c>
      <c r="Z24" t="str">
        <f t="shared" si="2"/>
        <v>№1</v>
      </c>
      <c r="AA24" t="s">
        <v>331</v>
      </c>
      <c r="AB24" t="str">
        <f t="shared" si="0"/>
        <v>akm_arshalu_novoaleksandrovka@mail.ru</v>
      </c>
      <c r="AC24" t="s">
        <v>191</v>
      </c>
      <c r="AD24" t="s">
        <v>192</v>
      </c>
      <c r="AE24" t="s">
        <v>193</v>
      </c>
      <c r="AF24" t="s">
        <v>194</v>
      </c>
      <c r="AH24" t="s">
        <v>195</v>
      </c>
      <c r="AI24">
        <v>2</v>
      </c>
      <c r="AJ24" t="s">
        <v>196</v>
      </c>
      <c r="AK24" t="s">
        <v>194</v>
      </c>
      <c r="AL24" t="s">
        <v>197</v>
      </c>
      <c r="AM24" t="s">
        <v>198</v>
      </c>
      <c r="AQ24" t="str">
        <f>"2020-11-04T09:14:35"</f>
        <v>2020-11-04T09:14:35</v>
      </c>
      <c r="AR24" t="s">
        <v>194</v>
      </c>
      <c r="AS24" t="s">
        <v>199</v>
      </c>
      <c r="AU24" t="s">
        <v>197</v>
      </c>
      <c r="AZ24" t="s">
        <v>194</v>
      </c>
      <c r="BA24" t="s">
        <v>200</v>
      </c>
      <c r="BB24" t="s">
        <v>201</v>
      </c>
      <c r="BC24" t="s">
        <v>317</v>
      </c>
      <c r="BE24" t="s">
        <v>229</v>
      </c>
      <c r="BF24" t="s">
        <v>197</v>
      </c>
      <c r="BG24" t="s">
        <v>339</v>
      </c>
      <c r="BH24" t="s">
        <v>340</v>
      </c>
      <c r="BJ24" t="s">
        <v>205</v>
      </c>
      <c r="BK24" t="s">
        <v>206</v>
      </c>
      <c r="BL24" t="s">
        <v>194</v>
      </c>
      <c r="BO24" t="s">
        <v>216</v>
      </c>
      <c r="BP24" t="s">
        <v>216</v>
      </c>
      <c r="BR24" t="s">
        <v>232</v>
      </c>
      <c r="BT24" t="s">
        <v>197</v>
      </c>
      <c r="BV24" t="s">
        <v>233</v>
      </c>
      <c r="CA24" t="s">
        <v>194</v>
      </c>
      <c r="CB24" t="s">
        <v>214</v>
      </c>
      <c r="CF24" t="s">
        <v>215</v>
      </c>
      <c r="CH24" t="s">
        <v>214</v>
      </c>
      <c r="CI24" t="s">
        <v>194</v>
      </c>
      <c r="CP24" t="s">
        <v>214</v>
      </c>
      <c r="CS24" t="s">
        <v>216</v>
      </c>
      <c r="CV24" t="s">
        <v>214</v>
      </c>
      <c r="CW24" t="s">
        <v>214</v>
      </c>
      <c r="CX24" t="s">
        <v>217</v>
      </c>
      <c r="CY24" t="s">
        <v>214</v>
      </c>
      <c r="DA24" t="s">
        <v>341</v>
      </c>
    </row>
    <row r="25" spans="1:105" x14ac:dyDescent="0.3">
      <c r="A25">
        <v>1224252</v>
      </c>
      <c r="B25">
        <v>930710</v>
      </c>
      <c r="C25" t="str">
        <f>"070605552394"</f>
        <v>070605552394</v>
      </c>
      <c r="D25" t="s">
        <v>342</v>
      </c>
      <c r="E25" t="s">
        <v>343</v>
      </c>
      <c r="F25" t="s">
        <v>344</v>
      </c>
      <c r="G25" s="1">
        <v>39238</v>
      </c>
      <c r="I25" t="s">
        <v>187</v>
      </c>
      <c r="J25" t="s">
        <v>188</v>
      </c>
      <c r="K25" t="s">
        <v>345</v>
      </c>
      <c r="Y25" t="str">
        <f t="shared" si="1"/>
        <v>2013-09-02T00:00:00</v>
      </c>
      <c r="Z25" t="str">
        <f t="shared" si="2"/>
        <v>№1</v>
      </c>
      <c r="AA25" t="s">
        <v>331</v>
      </c>
      <c r="AB25" t="str">
        <f t="shared" si="0"/>
        <v>akm_arshalu_novoaleksandrovka@mail.ru</v>
      </c>
      <c r="AC25" t="s">
        <v>237</v>
      </c>
      <c r="AD25" t="s">
        <v>192</v>
      </c>
      <c r="AE25" t="s">
        <v>227</v>
      </c>
      <c r="AF25" t="s">
        <v>194</v>
      </c>
      <c r="AH25" t="s">
        <v>195</v>
      </c>
      <c r="AI25">
        <v>2</v>
      </c>
      <c r="AJ25" t="s">
        <v>196</v>
      </c>
      <c r="AK25" t="s">
        <v>194</v>
      </c>
      <c r="AL25" t="s">
        <v>197</v>
      </c>
      <c r="AM25" t="s">
        <v>198</v>
      </c>
      <c r="AR25" t="s">
        <v>194</v>
      </c>
      <c r="AS25" t="s">
        <v>199</v>
      </c>
      <c r="AU25" t="s">
        <v>197</v>
      </c>
      <c r="AZ25" t="s">
        <v>194</v>
      </c>
      <c r="BA25" t="s">
        <v>200</v>
      </c>
      <c r="BB25" t="s">
        <v>201</v>
      </c>
      <c r="BD25" t="s">
        <v>200</v>
      </c>
      <c r="BE25" t="s">
        <v>202</v>
      </c>
      <c r="BF25" t="s">
        <v>197</v>
      </c>
      <c r="BG25" t="s">
        <v>238</v>
      </c>
      <c r="BH25">
        <v>4</v>
      </c>
      <c r="BJ25" t="s">
        <v>205</v>
      </c>
      <c r="BK25" t="s">
        <v>206</v>
      </c>
      <c r="BL25" t="s">
        <v>194</v>
      </c>
      <c r="BO25" t="s">
        <v>216</v>
      </c>
      <c r="BP25" t="s">
        <v>216</v>
      </c>
      <c r="BR25" t="s">
        <v>232</v>
      </c>
      <c r="BT25" t="s">
        <v>197</v>
      </c>
      <c r="BV25" t="s">
        <v>233</v>
      </c>
      <c r="CA25" t="s">
        <v>194</v>
      </c>
      <c r="CB25" t="s">
        <v>214</v>
      </c>
      <c r="CF25" t="s">
        <v>215</v>
      </c>
      <c r="CH25" t="s">
        <v>214</v>
      </c>
      <c r="CI25" t="s">
        <v>214</v>
      </c>
      <c r="CJ25" t="s">
        <v>214</v>
      </c>
      <c r="CP25" t="s">
        <v>214</v>
      </c>
      <c r="CS25" t="s">
        <v>216</v>
      </c>
      <c r="CV25" t="s">
        <v>214</v>
      </c>
      <c r="CW25" t="s">
        <v>214</v>
      </c>
      <c r="CX25" t="s">
        <v>217</v>
      </c>
      <c r="CY25" t="s">
        <v>214</v>
      </c>
      <c r="DA25" t="s">
        <v>218</v>
      </c>
    </row>
    <row r="26" spans="1:105" x14ac:dyDescent="0.3">
      <c r="A26">
        <v>1224259</v>
      </c>
      <c r="B26">
        <v>930715</v>
      </c>
      <c r="C26" t="str">
        <f>"070612651509"</f>
        <v>070612651509</v>
      </c>
      <c r="D26" t="s">
        <v>346</v>
      </c>
      <c r="E26" t="s">
        <v>258</v>
      </c>
      <c r="F26" t="s">
        <v>347</v>
      </c>
      <c r="G26" s="1">
        <v>39245</v>
      </c>
      <c r="I26" t="s">
        <v>222</v>
      </c>
      <c r="J26" t="s">
        <v>188</v>
      </c>
      <c r="K26" t="s">
        <v>345</v>
      </c>
      <c r="Y26" t="str">
        <f t="shared" si="1"/>
        <v>2013-09-02T00:00:00</v>
      </c>
      <c r="Z26" t="str">
        <f t="shared" si="2"/>
        <v>№1</v>
      </c>
      <c r="AA26" t="s">
        <v>331</v>
      </c>
      <c r="AB26" t="str">
        <f t="shared" si="0"/>
        <v>akm_arshalu_novoaleksandrovka@mail.ru</v>
      </c>
      <c r="AC26" t="s">
        <v>237</v>
      </c>
      <c r="AD26" t="s">
        <v>192</v>
      </c>
      <c r="AE26" t="s">
        <v>227</v>
      </c>
      <c r="AF26" t="s">
        <v>194</v>
      </c>
      <c r="AH26" t="s">
        <v>195</v>
      </c>
      <c r="AI26">
        <v>2</v>
      </c>
      <c r="AJ26" t="s">
        <v>196</v>
      </c>
      <c r="AK26" t="s">
        <v>194</v>
      </c>
      <c r="AL26" t="s">
        <v>197</v>
      </c>
      <c r="AM26" t="s">
        <v>198</v>
      </c>
      <c r="AR26" t="s">
        <v>194</v>
      </c>
      <c r="AS26" t="s">
        <v>199</v>
      </c>
      <c r="AU26" t="s">
        <v>197</v>
      </c>
      <c r="AZ26" t="s">
        <v>194</v>
      </c>
      <c r="BA26" t="s">
        <v>200</v>
      </c>
      <c r="BB26" t="s">
        <v>201</v>
      </c>
      <c r="BD26" t="s">
        <v>200</v>
      </c>
      <c r="BE26" t="s">
        <v>229</v>
      </c>
      <c r="BF26" t="s">
        <v>197</v>
      </c>
      <c r="BG26" t="s">
        <v>238</v>
      </c>
      <c r="BH26">
        <v>5</v>
      </c>
      <c r="BJ26" t="s">
        <v>205</v>
      </c>
      <c r="BK26" t="s">
        <v>206</v>
      </c>
      <c r="BL26" t="s">
        <v>194</v>
      </c>
      <c r="BO26" t="s">
        <v>216</v>
      </c>
      <c r="BP26" t="s">
        <v>216</v>
      </c>
      <c r="BR26" t="s">
        <v>207</v>
      </c>
      <c r="BS26" t="s">
        <v>208</v>
      </c>
      <c r="BT26" t="s">
        <v>197</v>
      </c>
      <c r="BV26" t="s">
        <v>233</v>
      </c>
      <c r="CA26" t="s">
        <v>194</v>
      </c>
      <c r="CB26" t="s">
        <v>214</v>
      </c>
      <c r="CF26" t="s">
        <v>215</v>
      </c>
      <c r="CH26" t="s">
        <v>214</v>
      </c>
      <c r="CI26" t="s">
        <v>214</v>
      </c>
      <c r="CJ26" t="s">
        <v>214</v>
      </c>
      <c r="CP26" t="s">
        <v>214</v>
      </c>
      <c r="CS26" t="s">
        <v>216</v>
      </c>
      <c r="CV26" t="s">
        <v>214</v>
      </c>
      <c r="CW26" t="s">
        <v>214</v>
      </c>
      <c r="CX26" t="s">
        <v>217</v>
      </c>
      <c r="CY26" t="s">
        <v>214</v>
      </c>
      <c r="DA26" t="s">
        <v>218</v>
      </c>
    </row>
    <row r="27" spans="1:105" x14ac:dyDescent="0.3">
      <c r="A27">
        <v>1224290</v>
      </c>
      <c r="B27">
        <v>930734</v>
      </c>
      <c r="C27" t="str">
        <f>"070207551848"</f>
        <v>070207551848</v>
      </c>
      <c r="D27" t="s">
        <v>348</v>
      </c>
      <c r="E27" t="s">
        <v>349</v>
      </c>
      <c r="F27" t="s">
        <v>350</v>
      </c>
      <c r="G27" s="1">
        <v>39120</v>
      </c>
      <c r="I27" t="s">
        <v>187</v>
      </c>
      <c r="J27" t="s">
        <v>188</v>
      </c>
      <c r="K27" t="s">
        <v>223</v>
      </c>
      <c r="Y27" t="str">
        <f t="shared" si="1"/>
        <v>2013-09-02T00:00:00</v>
      </c>
      <c r="Z27" t="str">
        <f t="shared" si="2"/>
        <v>№1</v>
      </c>
      <c r="AA27" t="s">
        <v>224</v>
      </c>
      <c r="AB27" t="str">
        <f t="shared" si="0"/>
        <v>akm_arshalu_novoaleksandrovka@mail.ru</v>
      </c>
      <c r="AC27" t="s">
        <v>225</v>
      </c>
      <c r="AD27" t="s">
        <v>192</v>
      </c>
      <c r="AE27" t="s">
        <v>193</v>
      </c>
      <c r="AF27" t="s">
        <v>194</v>
      </c>
      <c r="AH27" t="s">
        <v>195</v>
      </c>
      <c r="AI27">
        <v>2</v>
      </c>
      <c r="AJ27" t="s">
        <v>196</v>
      </c>
      <c r="AK27" t="s">
        <v>194</v>
      </c>
      <c r="AL27" t="s">
        <v>197</v>
      </c>
      <c r="AM27" t="s">
        <v>198</v>
      </c>
      <c r="AR27" t="s">
        <v>194</v>
      </c>
      <c r="AS27" t="s">
        <v>199</v>
      </c>
      <c r="AU27" t="s">
        <v>197</v>
      </c>
      <c r="AZ27" t="s">
        <v>194</v>
      </c>
      <c r="BA27" t="s">
        <v>200</v>
      </c>
      <c r="BB27" t="s">
        <v>201</v>
      </c>
      <c r="BD27" t="s">
        <v>200</v>
      </c>
      <c r="BE27" t="s">
        <v>229</v>
      </c>
      <c r="BF27" t="s">
        <v>197</v>
      </c>
      <c r="BG27" t="s">
        <v>203</v>
      </c>
      <c r="BH27" t="s">
        <v>291</v>
      </c>
      <c r="BJ27" t="s">
        <v>205</v>
      </c>
      <c r="BK27" t="s">
        <v>206</v>
      </c>
      <c r="BL27" t="s">
        <v>194</v>
      </c>
      <c r="BO27" t="s">
        <v>200</v>
      </c>
      <c r="BP27" t="s">
        <v>200</v>
      </c>
      <c r="BR27" t="s">
        <v>207</v>
      </c>
      <c r="BS27" t="s">
        <v>208</v>
      </c>
      <c r="BT27" t="s">
        <v>197</v>
      </c>
      <c r="BV27" t="s">
        <v>247</v>
      </c>
      <c r="BW27" t="s">
        <v>248</v>
      </c>
      <c r="BX27" t="s">
        <v>351</v>
      </c>
      <c r="BY27" t="s">
        <v>250</v>
      </c>
      <c r="BZ27" t="s">
        <v>352</v>
      </c>
      <c r="CA27" t="s">
        <v>194</v>
      </c>
      <c r="CB27" t="s">
        <v>214</v>
      </c>
      <c r="CF27" t="s">
        <v>215</v>
      </c>
      <c r="CH27" t="s">
        <v>214</v>
      </c>
      <c r="CI27" t="s">
        <v>214</v>
      </c>
      <c r="CJ27" t="s">
        <v>214</v>
      </c>
      <c r="CP27" t="s">
        <v>214</v>
      </c>
      <c r="CS27" t="s">
        <v>216</v>
      </c>
      <c r="CV27" t="s">
        <v>214</v>
      </c>
      <c r="CW27" t="s">
        <v>214</v>
      </c>
      <c r="CX27" t="s">
        <v>217</v>
      </c>
      <c r="CY27" t="s">
        <v>214</v>
      </c>
      <c r="DA27" t="s">
        <v>218</v>
      </c>
    </row>
    <row r="28" spans="1:105" x14ac:dyDescent="0.3">
      <c r="A28">
        <v>1224348</v>
      </c>
      <c r="B28">
        <v>930763</v>
      </c>
      <c r="C28" t="str">
        <f>"070720550145"</f>
        <v>070720550145</v>
      </c>
      <c r="D28" t="s">
        <v>353</v>
      </c>
      <c r="E28" t="s">
        <v>354</v>
      </c>
      <c r="F28" t="s">
        <v>355</v>
      </c>
      <c r="G28" s="1">
        <v>39283</v>
      </c>
      <c r="I28" t="s">
        <v>187</v>
      </c>
      <c r="J28" t="s">
        <v>188</v>
      </c>
      <c r="K28" t="s">
        <v>223</v>
      </c>
      <c r="Y28" t="str">
        <f t="shared" si="1"/>
        <v>2013-09-02T00:00:00</v>
      </c>
      <c r="Z28" t="str">
        <f t="shared" si="2"/>
        <v>№1</v>
      </c>
      <c r="AA28" t="s">
        <v>314</v>
      </c>
      <c r="AB28" t="str">
        <f t="shared" si="0"/>
        <v>akm_arshalu_novoaleksandrovka@mail.ru</v>
      </c>
      <c r="AC28" t="s">
        <v>237</v>
      </c>
      <c r="AD28" t="s">
        <v>192</v>
      </c>
      <c r="AE28" t="s">
        <v>227</v>
      </c>
      <c r="AF28" t="s">
        <v>194</v>
      </c>
      <c r="AH28" t="s">
        <v>195</v>
      </c>
      <c r="AI28">
        <v>2</v>
      </c>
      <c r="AJ28" t="s">
        <v>196</v>
      </c>
      <c r="AK28" t="s">
        <v>194</v>
      </c>
      <c r="AL28" t="s">
        <v>197</v>
      </c>
      <c r="AM28" t="s">
        <v>198</v>
      </c>
      <c r="AR28" t="s">
        <v>194</v>
      </c>
      <c r="AS28" t="s">
        <v>199</v>
      </c>
      <c r="AU28" t="s">
        <v>197</v>
      </c>
      <c r="AZ28" t="s">
        <v>194</v>
      </c>
      <c r="BA28" t="s">
        <v>200</v>
      </c>
      <c r="BB28" t="s">
        <v>201</v>
      </c>
      <c r="BD28" t="s">
        <v>200</v>
      </c>
      <c r="BE28" t="s">
        <v>202</v>
      </c>
      <c r="BF28" t="s">
        <v>197</v>
      </c>
      <c r="BG28" t="s">
        <v>238</v>
      </c>
      <c r="BH28">
        <v>3</v>
      </c>
      <c r="BJ28" t="s">
        <v>205</v>
      </c>
      <c r="BK28" t="s">
        <v>206</v>
      </c>
      <c r="BL28" t="s">
        <v>194</v>
      </c>
      <c r="BO28" t="s">
        <v>200</v>
      </c>
      <c r="BP28" t="s">
        <v>200</v>
      </c>
      <c r="BR28" t="s">
        <v>232</v>
      </c>
      <c r="BT28" t="s">
        <v>197</v>
      </c>
      <c r="BV28" t="s">
        <v>233</v>
      </c>
      <c r="CA28" t="s">
        <v>194</v>
      </c>
      <c r="CB28" t="s">
        <v>214</v>
      </c>
      <c r="CF28" t="s">
        <v>215</v>
      </c>
      <c r="CH28" t="s">
        <v>214</v>
      </c>
      <c r="CI28" t="s">
        <v>214</v>
      </c>
      <c r="CJ28" t="s">
        <v>214</v>
      </c>
      <c r="CP28" t="s">
        <v>214</v>
      </c>
      <c r="CS28" t="s">
        <v>216</v>
      </c>
      <c r="CV28" t="s">
        <v>214</v>
      </c>
      <c r="CW28" t="s">
        <v>214</v>
      </c>
      <c r="CX28" t="s">
        <v>217</v>
      </c>
      <c r="CY28" t="s">
        <v>214</v>
      </c>
      <c r="DA28" t="s">
        <v>218</v>
      </c>
    </row>
    <row r="29" spans="1:105" x14ac:dyDescent="0.3">
      <c r="A29">
        <v>1224362</v>
      </c>
      <c r="B29">
        <v>930774</v>
      </c>
      <c r="C29" t="str">
        <f>"090417652243"</f>
        <v>090417652243</v>
      </c>
      <c r="D29" t="s">
        <v>356</v>
      </c>
      <c r="E29" t="s">
        <v>357</v>
      </c>
      <c r="F29" t="s">
        <v>358</v>
      </c>
      <c r="G29" s="1">
        <v>39920</v>
      </c>
      <c r="I29" t="s">
        <v>222</v>
      </c>
      <c r="J29" t="s">
        <v>188</v>
      </c>
      <c r="K29" t="s">
        <v>223</v>
      </c>
      <c r="Y29" t="str">
        <f>"2016-01-09T00:00:00"</f>
        <v>2016-01-09T00:00:00</v>
      </c>
      <c r="Z29" t="str">
        <f>"№4"</f>
        <v>№4</v>
      </c>
      <c r="AA29" t="s">
        <v>190</v>
      </c>
      <c r="AC29" t="s">
        <v>225</v>
      </c>
      <c r="AD29" t="s">
        <v>242</v>
      </c>
      <c r="AE29" t="s">
        <v>193</v>
      </c>
      <c r="AF29" t="s">
        <v>194</v>
      </c>
      <c r="AH29" t="s">
        <v>195</v>
      </c>
      <c r="AI29">
        <v>1</v>
      </c>
      <c r="AJ29" t="s">
        <v>196</v>
      </c>
      <c r="AK29" t="s">
        <v>194</v>
      </c>
      <c r="AL29" t="s">
        <v>197</v>
      </c>
      <c r="AM29" t="s">
        <v>198</v>
      </c>
      <c r="AR29" t="s">
        <v>214</v>
      </c>
      <c r="AU29" t="s">
        <v>197</v>
      </c>
      <c r="AZ29" t="s">
        <v>194</v>
      </c>
      <c r="BA29" t="s">
        <v>200</v>
      </c>
      <c r="BB29" t="s">
        <v>201</v>
      </c>
      <c r="BD29" t="s">
        <v>200</v>
      </c>
      <c r="BE29" t="s">
        <v>202</v>
      </c>
      <c r="BF29" t="s">
        <v>197</v>
      </c>
      <c r="BG29" t="s">
        <v>359</v>
      </c>
      <c r="BH29" t="s">
        <v>275</v>
      </c>
      <c r="BJ29" t="s">
        <v>205</v>
      </c>
      <c r="BK29" t="s">
        <v>206</v>
      </c>
      <c r="BL29" t="s">
        <v>194</v>
      </c>
      <c r="BO29" t="s">
        <v>216</v>
      </c>
      <c r="BP29" t="s">
        <v>216</v>
      </c>
      <c r="BR29" t="s">
        <v>232</v>
      </c>
      <c r="BT29" t="s">
        <v>197</v>
      </c>
      <c r="BV29" t="s">
        <v>233</v>
      </c>
      <c r="CA29" t="s">
        <v>194</v>
      </c>
      <c r="CB29" t="s">
        <v>214</v>
      </c>
      <c r="CF29" t="s">
        <v>215</v>
      </c>
      <c r="CH29" t="s">
        <v>214</v>
      </c>
      <c r="CI29" t="s">
        <v>214</v>
      </c>
      <c r="CJ29" t="s">
        <v>214</v>
      </c>
      <c r="CP29" t="s">
        <v>214</v>
      </c>
      <c r="CS29" t="s">
        <v>216</v>
      </c>
      <c r="CV29" t="s">
        <v>214</v>
      </c>
      <c r="CW29" t="s">
        <v>214</v>
      </c>
      <c r="CX29" t="s">
        <v>217</v>
      </c>
      <c r="CY29" t="s">
        <v>214</v>
      </c>
      <c r="DA29" t="s">
        <v>218</v>
      </c>
    </row>
    <row r="30" spans="1:105" x14ac:dyDescent="0.3">
      <c r="A30">
        <v>1224384</v>
      </c>
      <c r="B30">
        <v>930782</v>
      </c>
      <c r="C30" t="str">
        <f>"071007653261"</f>
        <v>071007653261</v>
      </c>
      <c r="D30" t="s">
        <v>360</v>
      </c>
      <c r="E30" t="s">
        <v>361</v>
      </c>
      <c r="F30" t="s">
        <v>259</v>
      </c>
      <c r="G30" s="1">
        <v>39362</v>
      </c>
      <c r="I30" t="s">
        <v>222</v>
      </c>
      <c r="J30" t="s">
        <v>188</v>
      </c>
      <c r="K30" t="s">
        <v>223</v>
      </c>
      <c r="Y30" t="str">
        <f t="shared" ref="Y30:Y38" si="3">"2013-09-02T00:00:00"</f>
        <v>2013-09-02T00:00:00</v>
      </c>
      <c r="Z30" t="str">
        <f t="shared" ref="Z30:Z38" si="4">"№1"</f>
        <v>№1</v>
      </c>
      <c r="AA30" t="s">
        <v>314</v>
      </c>
      <c r="AB30" t="str">
        <f t="shared" ref="AB30:AB40" si="5">"akm_arshalu_novoaleksandrovka@mail.ru"</f>
        <v>akm_arshalu_novoaleksandrovka@mail.ru</v>
      </c>
      <c r="AC30" t="s">
        <v>237</v>
      </c>
      <c r="AD30" t="s">
        <v>192</v>
      </c>
      <c r="AE30" t="s">
        <v>227</v>
      </c>
      <c r="AF30" t="s">
        <v>194</v>
      </c>
      <c r="AH30" t="s">
        <v>195</v>
      </c>
      <c r="AI30">
        <v>1</v>
      </c>
      <c r="AJ30" t="s">
        <v>196</v>
      </c>
      <c r="AK30" t="s">
        <v>194</v>
      </c>
      <c r="AL30" t="s">
        <v>197</v>
      </c>
      <c r="AM30" t="s">
        <v>198</v>
      </c>
      <c r="AR30" t="s">
        <v>194</v>
      </c>
      <c r="AS30" t="s">
        <v>199</v>
      </c>
      <c r="AU30" t="s">
        <v>197</v>
      </c>
      <c r="AZ30" t="s">
        <v>194</v>
      </c>
      <c r="BA30" t="s">
        <v>200</v>
      </c>
      <c r="BB30" t="s">
        <v>201</v>
      </c>
      <c r="BD30" t="s">
        <v>200</v>
      </c>
      <c r="BE30" t="s">
        <v>202</v>
      </c>
      <c r="BF30" t="s">
        <v>197</v>
      </c>
      <c r="BG30" t="s">
        <v>238</v>
      </c>
      <c r="BH30">
        <v>3</v>
      </c>
      <c r="BJ30" t="s">
        <v>205</v>
      </c>
      <c r="BK30" t="s">
        <v>206</v>
      </c>
      <c r="BL30" t="s">
        <v>194</v>
      </c>
      <c r="BO30" t="s">
        <v>200</v>
      </c>
      <c r="BP30" t="s">
        <v>200</v>
      </c>
      <c r="BR30" t="s">
        <v>207</v>
      </c>
      <c r="BS30" t="s">
        <v>208</v>
      </c>
      <c r="BT30" t="s">
        <v>197</v>
      </c>
      <c r="BV30" t="s">
        <v>233</v>
      </c>
      <c r="CA30" t="s">
        <v>194</v>
      </c>
      <c r="CB30" t="s">
        <v>214</v>
      </c>
      <c r="CF30" t="s">
        <v>215</v>
      </c>
      <c r="CH30" t="s">
        <v>214</v>
      </c>
      <c r="CI30" t="s">
        <v>214</v>
      </c>
      <c r="CJ30" t="s">
        <v>214</v>
      </c>
      <c r="CP30" t="s">
        <v>214</v>
      </c>
      <c r="CS30" t="s">
        <v>216</v>
      </c>
      <c r="CV30" t="s">
        <v>214</v>
      </c>
      <c r="CW30" t="s">
        <v>214</v>
      </c>
      <c r="CX30" t="s">
        <v>217</v>
      </c>
      <c r="CY30" t="s">
        <v>214</v>
      </c>
      <c r="DA30" t="s">
        <v>218</v>
      </c>
    </row>
    <row r="31" spans="1:105" x14ac:dyDescent="0.3">
      <c r="A31">
        <v>1224395</v>
      </c>
      <c r="B31">
        <v>930791</v>
      </c>
      <c r="C31" t="str">
        <f>"070405551041"</f>
        <v>070405551041</v>
      </c>
      <c r="D31" t="s">
        <v>362</v>
      </c>
      <c r="E31" t="s">
        <v>363</v>
      </c>
      <c r="F31" t="s">
        <v>289</v>
      </c>
      <c r="G31" s="1">
        <v>39177</v>
      </c>
      <c r="I31" t="s">
        <v>187</v>
      </c>
      <c r="J31" t="s">
        <v>188</v>
      </c>
      <c r="K31" t="s">
        <v>345</v>
      </c>
      <c r="Y31" t="str">
        <f t="shared" si="3"/>
        <v>2013-09-02T00:00:00</v>
      </c>
      <c r="Z31" t="str">
        <f t="shared" si="4"/>
        <v>№1</v>
      </c>
      <c r="AA31" t="s">
        <v>314</v>
      </c>
      <c r="AB31" t="str">
        <f t="shared" si="5"/>
        <v>akm_arshalu_novoaleksandrovka@mail.ru</v>
      </c>
      <c r="AC31" t="s">
        <v>237</v>
      </c>
      <c r="AD31" t="s">
        <v>192</v>
      </c>
      <c r="AE31" t="s">
        <v>227</v>
      </c>
      <c r="AF31" t="s">
        <v>194</v>
      </c>
      <c r="AH31" t="s">
        <v>195</v>
      </c>
      <c r="AI31">
        <v>1</v>
      </c>
      <c r="AJ31" t="s">
        <v>196</v>
      </c>
      <c r="AK31" t="s">
        <v>194</v>
      </c>
      <c r="AL31" t="s">
        <v>197</v>
      </c>
      <c r="AM31" t="s">
        <v>198</v>
      </c>
      <c r="AR31" t="s">
        <v>194</v>
      </c>
      <c r="AS31" t="s">
        <v>199</v>
      </c>
      <c r="AU31" t="s">
        <v>197</v>
      </c>
      <c r="AZ31" t="s">
        <v>194</v>
      </c>
      <c r="BA31" t="s">
        <v>200</v>
      </c>
      <c r="BB31" t="s">
        <v>201</v>
      </c>
      <c r="BD31" t="s">
        <v>200</v>
      </c>
      <c r="BE31" t="s">
        <v>202</v>
      </c>
      <c r="BF31" t="s">
        <v>197</v>
      </c>
      <c r="BG31" t="s">
        <v>238</v>
      </c>
      <c r="BH31">
        <v>3</v>
      </c>
      <c r="BJ31" t="s">
        <v>205</v>
      </c>
      <c r="BK31" t="s">
        <v>206</v>
      </c>
      <c r="BL31" t="s">
        <v>194</v>
      </c>
      <c r="BO31" t="s">
        <v>216</v>
      </c>
      <c r="BP31" t="s">
        <v>216</v>
      </c>
      <c r="BR31" t="s">
        <v>232</v>
      </c>
      <c r="BT31" t="s">
        <v>197</v>
      </c>
      <c r="BV31" t="s">
        <v>233</v>
      </c>
      <c r="CA31" t="s">
        <v>194</v>
      </c>
      <c r="CB31" t="s">
        <v>214</v>
      </c>
      <c r="CF31" t="s">
        <v>215</v>
      </c>
      <c r="CH31" t="s">
        <v>214</v>
      </c>
      <c r="CI31" t="s">
        <v>214</v>
      </c>
      <c r="CJ31" t="s">
        <v>214</v>
      </c>
      <c r="CP31" t="s">
        <v>214</v>
      </c>
      <c r="CS31" t="s">
        <v>216</v>
      </c>
      <c r="CV31" t="s">
        <v>214</v>
      </c>
      <c r="CW31" t="s">
        <v>214</v>
      </c>
      <c r="CX31" t="s">
        <v>217</v>
      </c>
      <c r="CY31" t="s">
        <v>214</v>
      </c>
      <c r="DA31" t="s">
        <v>218</v>
      </c>
    </row>
    <row r="32" spans="1:105" x14ac:dyDescent="0.3">
      <c r="A32">
        <v>1224414</v>
      </c>
      <c r="B32">
        <v>930799</v>
      </c>
      <c r="C32" t="str">
        <f>"071104652260"</f>
        <v>071104652260</v>
      </c>
      <c r="D32" t="s">
        <v>364</v>
      </c>
      <c r="E32" t="s">
        <v>258</v>
      </c>
      <c r="F32" t="s">
        <v>365</v>
      </c>
      <c r="G32" s="1">
        <v>39390</v>
      </c>
      <c r="I32" t="s">
        <v>222</v>
      </c>
      <c r="J32" t="s">
        <v>188</v>
      </c>
      <c r="K32" t="s">
        <v>223</v>
      </c>
      <c r="Y32" t="str">
        <f t="shared" si="3"/>
        <v>2013-09-02T00:00:00</v>
      </c>
      <c r="Z32" t="str">
        <f t="shared" si="4"/>
        <v>№1</v>
      </c>
      <c r="AA32" t="s">
        <v>314</v>
      </c>
      <c r="AB32" t="str">
        <f t="shared" si="5"/>
        <v>akm_arshalu_novoaleksandrovka@mail.ru</v>
      </c>
      <c r="AC32" t="s">
        <v>225</v>
      </c>
      <c r="AD32" t="s">
        <v>192</v>
      </c>
      <c r="AE32" t="s">
        <v>227</v>
      </c>
      <c r="AF32" t="s">
        <v>194</v>
      </c>
      <c r="AH32" t="s">
        <v>195</v>
      </c>
      <c r="AI32">
        <v>1</v>
      </c>
      <c r="AJ32" t="s">
        <v>196</v>
      </c>
      <c r="AK32" t="s">
        <v>194</v>
      </c>
      <c r="AL32" t="s">
        <v>197</v>
      </c>
      <c r="AM32" t="s">
        <v>228</v>
      </c>
      <c r="AR32" t="s">
        <v>214</v>
      </c>
      <c r="AU32" t="s">
        <v>197</v>
      </c>
      <c r="AZ32" t="s">
        <v>194</v>
      </c>
      <c r="BA32" t="s">
        <v>200</v>
      </c>
      <c r="BB32" t="s">
        <v>201</v>
      </c>
      <c r="BD32" t="s">
        <v>200</v>
      </c>
      <c r="BE32" t="s">
        <v>202</v>
      </c>
      <c r="BF32" t="s">
        <v>197</v>
      </c>
      <c r="BG32" t="s">
        <v>290</v>
      </c>
      <c r="BH32" t="s">
        <v>366</v>
      </c>
      <c r="BJ32" t="s">
        <v>205</v>
      </c>
      <c r="BK32" t="s">
        <v>206</v>
      </c>
      <c r="BL32" t="s">
        <v>194</v>
      </c>
      <c r="BO32" t="s">
        <v>200</v>
      </c>
      <c r="BP32" t="s">
        <v>200</v>
      </c>
      <c r="BR32" t="s">
        <v>207</v>
      </c>
      <c r="BS32" t="s">
        <v>208</v>
      </c>
      <c r="BT32" t="s">
        <v>197</v>
      </c>
      <c r="BV32" t="s">
        <v>233</v>
      </c>
      <c r="CA32" t="s">
        <v>194</v>
      </c>
      <c r="CB32" t="s">
        <v>214</v>
      </c>
      <c r="CF32" t="s">
        <v>215</v>
      </c>
      <c r="CH32" t="s">
        <v>214</v>
      </c>
      <c r="CI32" t="s">
        <v>214</v>
      </c>
      <c r="CJ32" t="s">
        <v>214</v>
      </c>
      <c r="CP32" t="s">
        <v>214</v>
      </c>
      <c r="CS32" t="s">
        <v>216</v>
      </c>
      <c r="CV32" t="s">
        <v>214</v>
      </c>
      <c r="CW32" t="s">
        <v>214</v>
      </c>
      <c r="CX32" t="s">
        <v>217</v>
      </c>
      <c r="CY32" t="s">
        <v>214</v>
      </c>
      <c r="DA32" t="s">
        <v>218</v>
      </c>
    </row>
    <row r="33" spans="1:105" x14ac:dyDescent="0.3">
      <c r="A33">
        <v>1224425</v>
      </c>
      <c r="B33">
        <v>930804</v>
      </c>
      <c r="C33" t="str">
        <f>"080521651114"</f>
        <v>080521651114</v>
      </c>
      <c r="D33" t="s">
        <v>367</v>
      </c>
      <c r="E33" t="s">
        <v>368</v>
      </c>
      <c r="F33" t="s">
        <v>369</v>
      </c>
      <c r="G33" s="1">
        <v>39589</v>
      </c>
      <c r="I33" t="s">
        <v>222</v>
      </c>
      <c r="J33" t="s">
        <v>188</v>
      </c>
      <c r="K33" t="s">
        <v>189</v>
      </c>
      <c r="Y33" t="str">
        <f t="shared" si="3"/>
        <v>2013-09-02T00:00:00</v>
      </c>
      <c r="Z33" t="str">
        <f t="shared" si="4"/>
        <v>№1</v>
      </c>
      <c r="AA33" t="s">
        <v>314</v>
      </c>
      <c r="AB33" t="str">
        <f t="shared" si="5"/>
        <v>akm_arshalu_novoaleksandrovka@mail.ru</v>
      </c>
      <c r="AC33" t="s">
        <v>237</v>
      </c>
      <c r="AD33" t="s">
        <v>192</v>
      </c>
      <c r="AE33" t="s">
        <v>227</v>
      </c>
      <c r="AF33" t="s">
        <v>194</v>
      </c>
      <c r="AH33" t="s">
        <v>195</v>
      </c>
      <c r="AI33">
        <v>1</v>
      </c>
      <c r="AJ33" t="s">
        <v>196</v>
      </c>
      <c r="AK33" t="s">
        <v>194</v>
      </c>
      <c r="AL33" t="s">
        <v>197</v>
      </c>
      <c r="AM33" t="s">
        <v>228</v>
      </c>
      <c r="AR33" t="s">
        <v>194</v>
      </c>
      <c r="AS33" t="s">
        <v>199</v>
      </c>
      <c r="AU33" t="s">
        <v>197</v>
      </c>
      <c r="AZ33" t="s">
        <v>194</v>
      </c>
      <c r="BA33" t="s">
        <v>200</v>
      </c>
      <c r="BB33" t="s">
        <v>201</v>
      </c>
      <c r="BD33" t="s">
        <v>200</v>
      </c>
      <c r="BE33" t="s">
        <v>229</v>
      </c>
      <c r="BF33" t="s">
        <v>197</v>
      </c>
      <c r="BG33" t="s">
        <v>238</v>
      </c>
      <c r="BH33">
        <v>4</v>
      </c>
      <c r="BJ33" t="s">
        <v>205</v>
      </c>
      <c r="BK33" t="s">
        <v>206</v>
      </c>
      <c r="BL33" t="s">
        <v>194</v>
      </c>
      <c r="BO33" t="s">
        <v>200</v>
      </c>
      <c r="BP33" t="s">
        <v>200</v>
      </c>
      <c r="BR33" t="s">
        <v>232</v>
      </c>
      <c r="BT33" t="s">
        <v>197</v>
      </c>
      <c r="BV33" t="s">
        <v>233</v>
      </c>
      <c r="CA33" t="s">
        <v>194</v>
      </c>
      <c r="CB33" t="s">
        <v>214</v>
      </c>
      <c r="CF33" t="s">
        <v>215</v>
      </c>
      <c r="CH33" t="s">
        <v>214</v>
      </c>
      <c r="CI33" t="s">
        <v>214</v>
      </c>
      <c r="CJ33" t="s">
        <v>214</v>
      </c>
      <c r="CP33" t="s">
        <v>214</v>
      </c>
      <c r="CS33" t="s">
        <v>216</v>
      </c>
      <c r="CV33" t="s">
        <v>214</v>
      </c>
      <c r="CW33" t="s">
        <v>214</v>
      </c>
      <c r="CX33" t="s">
        <v>217</v>
      </c>
      <c r="CY33" t="s">
        <v>214</v>
      </c>
      <c r="DA33" t="s">
        <v>218</v>
      </c>
    </row>
    <row r="34" spans="1:105" x14ac:dyDescent="0.3">
      <c r="A34">
        <v>1224453</v>
      </c>
      <c r="B34">
        <v>930825</v>
      </c>
      <c r="C34" t="str">
        <f>"070612652280"</f>
        <v>070612652280</v>
      </c>
      <c r="D34" t="s">
        <v>370</v>
      </c>
      <c r="E34" t="s">
        <v>371</v>
      </c>
      <c r="F34" t="s">
        <v>372</v>
      </c>
      <c r="G34" s="1">
        <v>39245</v>
      </c>
      <c r="I34" t="s">
        <v>222</v>
      </c>
      <c r="J34" t="s">
        <v>188</v>
      </c>
      <c r="K34" t="s">
        <v>373</v>
      </c>
      <c r="Y34" t="str">
        <f t="shared" si="3"/>
        <v>2013-09-02T00:00:00</v>
      </c>
      <c r="Z34" t="str">
        <f t="shared" si="4"/>
        <v>№1</v>
      </c>
      <c r="AA34" t="s">
        <v>224</v>
      </c>
      <c r="AB34" t="str">
        <f t="shared" si="5"/>
        <v>akm_arshalu_novoaleksandrovka@mail.ru</v>
      </c>
      <c r="AC34" t="s">
        <v>225</v>
      </c>
      <c r="AD34" t="s">
        <v>192</v>
      </c>
      <c r="AE34" t="s">
        <v>227</v>
      </c>
      <c r="AF34" t="s">
        <v>194</v>
      </c>
      <c r="AH34" t="s">
        <v>195</v>
      </c>
      <c r="AI34">
        <v>1</v>
      </c>
      <c r="AJ34" t="s">
        <v>196</v>
      </c>
      <c r="AK34" t="s">
        <v>194</v>
      </c>
      <c r="AL34" t="s">
        <v>197</v>
      </c>
      <c r="AM34" t="s">
        <v>228</v>
      </c>
      <c r="AR34" t="s">
        <v>214</v>
      </c>
      <c r="AU34" t="s">
        <v>197</v>
      </c>
      <c r="AZ34" t="s">
        <v>194</v>
      </c>
      <c r="BA34" t="s">
        <v>200</v>
      </c>
      <c r="BB34" t="s">
        <v>201</v>
      </c>
      <c r="BD34" t="s">
        <v>200</v>
      </c>
      <c r="BE34" t="s">
        <v>229</v>
      </c>
      <c r="BF34" t="s">
        <v>197</v>
      </c>
      <c r="BG34" t="s">
        <v>290</v>
      </c>
      <c r="BH34" t="s">
        <v>374</v>
      </c>
      <c r="BJ34" t="s">
        <v>205</v>
      </c>
      <c r="BK34" t="s">
        <v>206</v>
      </c>
      <c r="BL34" t="s">
        <v>194</v>
      </c>
      <c r="BO34" t="s">
        <v>216</v>
      </c>
      <c r="BP34" t="s">
        <v>216</v>
      </c>
      <c r="BR34" t="s">
        <v>232</v>
      </c>
      <c r="BT34" t="s">
        <v>197</v>
      </c>
      <c r="BV34" t="s">
        <v>233</v>
      </c>
      <c r="CA34" t="s">
        <v>194</v>
      </c>
      <c r="CB34" t="s">
        <v>214</v>
      </c>
      <c r="CF34" t="s">
        <v>215</v>
      </c>
      <c r="CH34" t="s">
        <v>214</v>
      </c>
      <c r="CI34" t="s">
        <v>214</v>
      </c>
      <c r="CJ34" t="s">
        <v>214</v>
      </c>
      <c r="CP34" t="s">
        <v>214</v>
      </c>
      <c r="CS34" t="s">
        <v>216</v>
      </c>
      <c r="CV34" t="s">
        <v>214</v>
      </c>
      <c r="CW34" t="s">
        <v>214</v>
      </c>
      <c r="CX34" t="s">
        <v>217</v>
      </c>
      <c r="CY34" t="s">
        <v>214</v>
      </c>
      <c r="DA34" t="s">
        <v>218</v>
      </c>
    </row>
    <row r="35" spans="1:105" x14ac:dyDescent="0.3">
      <c r="A35">
        <v>1224484</v>
      </c>
      <c r="B35">
        <v>930847</v>
      </c>
      <c r="C35" t="str">
        <f>"070826551675"</f>
        <v>070826551675</v>
      </c>
      <c r="D35" t="s">
        <v>375</v>
      </c>
      <c r="E35" t="s">
        <v>376</v>
      </c>
      <c r="F35" t="s">
        <v>289</v>
      </c>
      <c r="G35" s="1">
        <v>39320</v>
      </c>
      <c r="I35" t="s">
        <v>187</v>
      </c>
      <c r="J35" t="s">
        <v>188</v>
      </c>
      <c r="K35" t="s">
        <v>223</v>
      </c>
      <c r="Y35" t="str">
        <f t="shared" si="3"/>
        <v>2013-09-02T00:00:00</v>
      </c>
      <c r="Z35" t="str">
        <f t="shared" si="4"/>
        <v>№1</v>
      </c>
      <c r="AA35" t="s">
        <v>331</v>
      </c>
      <c r="AB35" t="str">
        <f t="shared" si="5"/>
        <v>akm_arshalu_novoaleksandrovka@mail.ru</v>
      </c>
      <c r="AC35" t="s">
        <v>225</v>
      </c>
      <c r="AD35" t="s">
        <v>192</v>
      </c>
      <c r="AE35" t="s">
        <v>227</v>
      </c>
      <c r="AF35" t="s">
        <v>194</v>
      </c>
      <c r="AH35" t="s">
        <v>195</v>
      </c>
      <c r="AI35">
        <v>1</v>
      </c>
      <c r="AJ35" t="s">
        <v>196</v>
      </c>
      <c r="AK35" t="s">
        <v>194</v>
      </c>
      <c r="AL35" t="s">
        <v>197</v>
      </c>
      <c r="AM35" t="s">
        <v>228</v>
      </c>
      <c r="AR35" t="s">
        <v>194</v>
      </c>
      <c r="AS35" t="s">
        <v>199</v>
      </c>
      <c r="AU35" t="s">
        <v>197</v>
      </c>
      <c r="AZ35" t="s">
        <v>194</v>
      </c>
      <c r="BA35" t="s">
        <v>200</v>
      </c>
      <c r="BB35" t="s">
        <v>201</v>
      </c>
      <c r="BD35" t="s">
        <v>200</v>
      </c>
      <c r="BE35" t="s">
        <v>202</v>
      </c>
      <c r="BF35" t="s">
        <v>197</v>
      </c>
      <c r="BG35" t="s">
        <v>339</v>
      </c>
      <c r="BH35" t="s">
        <v>377</v>
      </c>
      <c r="BJ35" t="s">
        <v>205</v>
      </c>
      <c r="BK35" t="s">
        <v>206</v>
      </c>
      <c r="BL35" t="s">
        <v>194</v>
      </c>
      <c r="BO35" t="s">
        <v>200</v>
      </c>
      <c r="BP35" t="s">
        <v>200</v>
      </c>
      <c r="BR35" t="s">
        <v>246</v>
      </c>
      <c r="BS35" t="s">
        <v>208</v>
      </c>
      <c r="BT35" t="s">
        <v>197</v>
      </c>
      <c r="BV35" t="s">
        <v>233</v>
      </c>
      <c r="CA35" t="s">
        <v>194</v>
      </c>
      <c r="CB35" t="s">
        <v>214</v>
      </c>
      <c r="CF35" t="s">
        <v>215</v>
      </c>
      <c r="CH35" t="s">
        <v>214</v>
      </c>
      <c r="CI35" t="s">
        <v>214</v>
      </c>
      <c r="CJ35" t="s">
        <v>214</v>
      </c>
      <c r="CP35" t="s">
        <v>214</v>
      </c>
      <c r="CS35" t="s">
        <v>216</v>
      </c>
      <c r="CV35" t="s">
        <v>214</v>
      </c>
      <c r="CW35" t="s">
        <v>214</v>
      </c>
      <c r="CX35" t="s">
        <v>217</v>
      </c>
      <c r="CY35" t="s">
        <v>214</v>
      </c>
      <c r="DA35" t="s">
        <v>218</v>
      </c>
    </row>
    <row r="36" spans="1:105" x14ac:dyDescent="0.3">
      <c r="A36">
        <v>1224511</v>
      </c>
      <c r="B36">
        <v>930864</v>
      </c>
      <c r="C36" t="str">
        <f>"080429651000"</f>
        <v>080429651000</v>
      </c>
      <c r="D36" t="s">
        <v>378</v>
      </c>
      <c r="E36" t="s">
        <v>258</v>
      </c>
      <c r="F36" t="s">
        <v>379</v>
      </c>
      <c r="G36" s="1">
        <v>39567</v>
      </c>
      <c r="I36" t="s">
        <v>222</v>
      </c>
      <c r="J36" t="s">
        <v>188</v>
      </c>
      <c r="K36" t="s">
        <v>223</v>
      </c>
      <c r="Y36" t="str">
        <f t="shared" si="3"/>
        <v>2013-09-02T00:00:00</v>
      </c>
      <c r="Z36" t="str">
        <f t="shared" si="4"/>
        <v>№1</v>
      </c>
      <c r="AA36" t="s">
        <v>224</v>
      </c>
      <c r="AB36" t="str">
        <f t="shared" si="5"/>
        <v>akm_arshalu_novoaleksandrovka@mail.ru</v>
      </c>
      <c r="AC36" t="s">
        <v>237</v>
      </c>
      <c r="AD36" t="s">
        <v>192</v>
      </c>
      <c r="AE36" t="s">
        <v>227</v>
      </c>
      <c r="AF36" t="s">
        <v>194</v>
      </c>
      <c r="AH36" t="s">
        <v>195</v>
      </c>
      <c r="AI36">
        <v>1</v>
      </c>
      <c r="AJ36" t="s">
        <v>196</v>
      </c>
      <c r="AK36" t="s">
        <v>194</v>
      </c>
      <c r="AL36" t="s">
        <v>197</v>
      </c>
      <c r="AM36" t="s">
        <v>198</v>
      </c>
      <c r="AQ36" t="str">
        <f>"2020-11-04T09:33:52"</f>
        <v>2020-11-04T09:33:52</v>
      </c>
      <c r="AR36" t="s">
        <v>194</v>
      </c>
      <c r="AS36" t="s">
        <v>199</v>
      </c>
      <c r="AU36" t="s">
        <v>197</v>
      </c>
      <c r="AZ36" t="s">
        <v>194</v>
      </c>
      <c r="BA36" t="s">
        <v>200</v>
      </c>
      <c r="BB36" t="s">
        <v>201</v>
      </c>
      <c r="BC36" t="s">
        <v>317</v>
      </c>
      <c r="BE36" t="s">
        <v>202</v>
      </c>
      <c r="BF36" t="s">
        <v>197</v>
      </c>
      <c r="BG36" t="s">
        <v>290</v>
      </c>
      <c r="BH36" t="s">
        <v>366</v>
      </c>
      <c r="BJ36" t="s">
        <v>205</v>
      </c>
      <c r="BK36" t="s">
        <v>206</v>
      </c>
      <c r="BL36" t="s">
        <v>194</v>
      </c>
      <c r="BO36" t="s">
        <v>200</v>
      </c>
      <c r="BP36" t="s">
        <v>200</v>
      </c>
      <c r="BR36" t="s">
        <v>232</v>
      </c>
      <c r="BT36" t="s">
        <v>197</v>
      </c>
      <c r="BV36" t="s">
        <v>233</v>
      </c>
      <c r="CA36" t="s">
        <v>194</v>
      </c>
      <c r="CB36" t="s">
        <v>214</v>
      </c>
      <c r="CF36" t="s">
        <v>215</v>
      </c>
      <c r="CH36" t="s">
        <v>214</v>
      </c>
      <c r="CI36" t="s">
        <v>214</v>
      </c>
      <c r="CJ36" t="s">
        <v>214</v>
      </c>
      <c r="CP36" t="s">
        <v>214</v>
      </c>
      <c r="CS36" t="s">
        <v>216</v>
      </c>
      <c r="CV36" t="s">
        <v>214</v>
      </c>
      <c r="CW36" t="s">
        <v>214</v>
      </c>
      <c r="CX36" t="s">
        <v>217</v>
      </c>
      <c r="CY36" t="s">
        <v>214</v>
      </c>
      <c r="DA36" t="s">
        <v>218</v>
      </c>
    </row>
    <row r="37" spans="1:105" x14ac:dyDescent="0.3">
      <c r="A37">
        <v>1224529</v>
      </c>
      <c r="B37">
        <v>930877</v>
      </c>
      <c r="C37" t="str">
        <f>"070606551576"</f>
        <v>070606551576</v>
      </c>
      <c r="D37" t="s">
        <v>380</v>
      </c>
      <c r="E37" t="s">
        <v>277</v>
      </c>
      <c r="F37" t="s">
        <v>381</v>
      </c>
      <c r="G37" s="1">
        <v>39239</v>
      </c>
      <c r="I37" t="s">
        <v>187</v>
      </c>
      <c r="J37" t="s">
        <v>188</v>
      </c>
      <c r="K37" t="s">
        <v>382</v>
      </c>
      <c r="Y37" t="str">
        <f t="shared" si="3"/>
        <v>2013-09-02T00:00:00</v>
      </c>
      <c r="Z37" t="str">
        <f t="shared" si="4"/>
        <v>№1</v>
      </c>
      <c r="AA37" t="s">
        <v>224</v>
      </c>
      <c r="AB37" t="str">
        <f t="shared" si="5"/>
        <v>akm_arshalu_novoaleksandrovka@mail.ru</v>
      </c>
      <c r="AC37" t="s">
        <v>225</v>
      </c>
      <c r="AD37" t="s">
        <v>192</v>
      </c>
      <c r="AE37" t="s">
        <v>193</v>
      </c>
      <c r="AF37" t="s">
        <v>194</v>
      </c>
      <c r="AH37" t="s">
        <v>195</v>
      </c>
      <c r="AI37">
        <v>2</v>
      </c>
      <c r="AJ37" t="s">
        <v>196</v>
      </c>
      <c r="AK37" t="s">
        <v>194</v>
      </c>
      <c r="AL37" t="s">
        <v>197</v>
      </c>
      <c r="AM37" t="s">
        <v>198</v>
      </c>
      <c r="AR37" t="s">
        <v>194</v>
      </c>
      <c r="AS37" t="s">
        <v>199</v>
      </c>
      <c r="AU37" t="s">
        <v>197</v>
      </c>
      <c r="AZ37" t="s">
        <v>194</v>
      </c>
      <c r="BA37" t="s">
        <v>200</v>
      </c>
      <c r="BB37" t="s">
        <v>201</v>
      </c>
      <c r="BD37" t="s">
        <v>200</v>
      </c>
      <c r="BE37" t="s">
        <v>202</v>
      </c>
      <c r="BF37" t="s">
        <v>197</v>
      </c>
      <c r="BG37" t="s">
        <v>203</v>
      </c>
      <c r="BH37" t="s">
        <v>383</v>
      </c>
      <c r="BJ37" t="s">
        <v>205</v>
      </c>
      <c r="BK37" t="s">
        <v>206</v>
      </c>
      <c r="BL37" t="s">
        <v>194</v>
      </c>
      <c r="BO37" t="s">
        <v>216</v>
      </c>
      <c r="BP37" t="s">
        <v>216</v>
      </c>
      <c r="BR37" t="s">
        <v>246</v>
      </c>
      <c r="BS37" t="s">
        <v>208</v>
      </c>
      <c r="BT37" t="s">
        <v>197</v>
      </c>
      <c r="BV37" t="s">
        <v>233</v>
      </c>
      <c r="CA37" t="s">
        <v>194</v>
      </c>
      <c r="CB37" t="s">
        <v>214</v>
      </c>
      <c r="CF37" t="s">
        <v>215</v>
      </c>
      <c r="CH37" t="s">
        <v>214</v>
      </c>
      <c r="CI37" t="s">
        <v>214</v>
      </c>
      <c r="CJ37" t="s">
        <v>214</v>
      </c>
      <c r="CP37" t="s">
        <v>214</v>
      </c>
      <c r="CS37" t="s">
        <v>216</v>
      </c>
      <c r="CV37" t="s">
        <v>214</v>
      </c>
      <c r="CW37" t="s">
        <v>214</v>
      </c>
      <c r="CX37" t="s">
        <v>217</v>
      </c>
      <c r="CY37" t="s">
        <v>214</v>
      </c>
      <c r="DA37" t="s">
        <v>218</v>
      </c>
    </row>
    <row r="38" spans="1:105" x14ac:dyDescent="0.3">
      <c r="A38">
        <v>1224543</v>
      </c>
      <c r="B38">
        <v>930889</v>
      </c>
      <c r="C38" t="str">
        <f>"070312552222"</f>
        <v>070312552222</v>
      </c>
      <c r="D38" t="s">
        <v>384</v>
      </c>
      <c r="E38" t="s">
        <v>385</v>
      </c>
      <c r="F38" t="s">
        <v>386</v>
      </c>
      <c r="G38" s="1">
        <v>39153</v>
      </c>
      <c r="I38" t="s">
        <v>187</v>
      </c>
      <c r="J38" t="s">
        <v>188</v>
      </c>
      <c r="K38" t="s">
        <v>223</v>
      </c>
      <c r="Y38" t="str">
        <f t="shared" si="3"/>
        <v>2013-09-02T00:00:00</v>
      </c>
      <c r="Z38" t="str">
        <f t="shared" si="4"/>
        <v>№1</v>
      </c>
      <c r="AA38" t="s">
        <v>224</v>
      </c>
      <c r="AB38" t="str">
        <f t="shared" si="5"/>
        <v>akm_arshalu_novoaleksandrovka@mail.ru</v>
      </c>
      <c r="AC38" t="s">
        <v>225</v>
      </c>
      <c r="AD38" t="s">
        <v>192</v>
      </c>
      <c r="AE38" t="s">
        <v>193</v>
      </c>
      <c r="AF38" t="s">
        <v>194</v>
      </c>
      <c r="AH38" t="s">
        <v>195</v>
      </c>
      <c r="AI38">
        <v>2</v>
      </c>
      <c r="AJ38" t="s">
        <v>196</v>
      </c>
      <c r="AK38" t="s">
        <v>194</v>
      </c>
      <c r="AL38" t="s">
        <v>197</v>
      </c>
      <c r="AM38" t="s">
        <v>198</v>
      </c>
      <c r="AR38" t="s">
        <v>194</v>
      </c>
      <c r="AS38" t="s">
        <v>199</v>
      </c>
      <c r="AU38" t="s">
        <v>197</v>
      </c>
      <c r="AZ38" t="s">
        <v>194</v>
      </c>
      <c r="BA38" t="s">
        <v>200</v>
      </c>
      <c r="BB38" t="s">
        <v>201</v>
      </c>
      <c r="BD38" t="s">
        <v>200</v>
      </c>
      <c r="BE38" t="s">
        <v>202</v>
      </c>
      <c r="BF38" t="s">
        <v>197</v>
      </c>
      <c r="BG38" t="s">
        <v>290</v>
      </c>
      <c r="BH38" t="s">
        <v>387</v>
      </c>
      <c r="BJ38" t="s">
        <v>205</v>
      </c>
      <c r="BK38" t="s">
        <v>206</v>
      </c>
      <c r="BL38" t="s">
        <v>194</v>
      </c>
      <c r="BO38" t="s">
        <v>200</v>
      </c>
      <c r="BP38" t="s">
        <v>200</v>
      </c>
      <c r="BR38" t="s">
        <v>246</v>
      </c>
      <c r="BS38" t="s">
        <v>208</v>
      </c>
      <c r="BT38" t="s">
        <v>197</v>
      </c>
      <c r="BV38" t="s">
        <v>233</v>
      </c>
      <c r="CA38" t="s">
        <v>194</v>
      </c>
      <c r="CB38" t="s">
        <v>214</v>
      </c>
      <c r="CF38" t="s">
        <v>215</v>
      </c>
      <c r="CH38" t="s">
        <v>214</v>
      </c>
      <c r="CI38" t="s">
        <v>214</v>
      </c>
      <c r="CJ38" t="s">
        <v>214</v>
      </c>
      <c r="CP38" t="s">
        <v>214</v>
      </c>
      <c r="CS38" t="s">
        <v>216</v>
      </c>
      <c r="CV38" t="s">
        <v>214</v>
      </c>
      <c r="CW38" t="s">
        <v>214</v>
      </c>
      <c r="CX38" t="s">
        <v>217</v>
      </c>
      <c r="CY38" t="s">
        <v>214</v>
      </c>
      <c r="DA38" t="s">
        <v>218</v>
      </c>
    </row>
    <row r="39" spans="1:105" x14ac:dyDescent="0.3">
      <c r="A39">
        <v>1224553</v>
      </c>
      <c r="B39">
        <v>930899</v>
      </c>
      <c r="C39" t="str">
        <f>"070621551511"</f>
        <v>070621551511</v>
      </c>
      <c r="D39" t="s">
        <v>388</v>
      </c>
      <c r="E39" t="s">
        <v>389</v>
      </c>
      <c r="F39" t="s">
        <v>390</v>
      </c>
      <c r="G39" s="1">
        <v>39254</v>
      </c>
      <c r="I39" t="s">
        <v>187</v>
      </c>
      <c r="J39" t="s">
        <v>188</v>
      </c>
      <c r="K39" t="s">
        <v>223</v>
      </c>
      <c r="Y39" t="str">
        <f>"2018-02-01T00:00:00"</f>
        <v>2018-02-01T00:00:00</v>
      </c>
      <c r="Z39" t="str">
        <f>"№06"</f>
        <v>№06</v>
      </c>
      <c r="AA39" t="s">
        <v>224</v>
      </c>
      <c r="AB39" t="str">
        <f t="shared" si="5"/>
        <v>akm_arshalu_novoaleksandrovka@mail.ru</v>
      </c>
      <c r="AC39" t="s">
        <v>225</v>
      </c>
      <c r="AD39" t="s">
        <v>192</v>
      </c>
      <c r="AE39" t="s">
        <v>193</v>
      </c>
      <c r="AF39" t="s">
        <v>194</v>
      </c>
      <c r="AH39" t="s">
        <v>195</v>
      </c>
      <c r="AI39">
        <v>2</v>
      </c>
      <c r="AJ39" t="s">
        <v>196</v>
      </c>
      <c r="AK39" t="s">
        <v>194</v>
      </c>
      <c r="AL39" t="s">
        <v>197</v>
      </c>
      <c r="AM39" t="s">
        <v>198</v>
      </c>
      <c r="AQ39" t="str">
        <f>"2020-11-11T13:33:00"</f>
        <v>2020-11-11T13:33:00</v>
      </c>
      <c r="AR39" t="s">
        <v>194</v>
      </c>
      <c r="AS39" t="s">
        <v>199</v>
      </c>
      <c r="AU39" t="s">
        <v>197</v>
      </c>
      <c r="AZ39" t="s">
        <v>194</v>
      </c>
      <c r="BA39" t="s">
        <v>200</v>
      </c>
      <c r="BB39" t="s">
        <v>201</v>
      </c>
      <c r="BD39" t="s">
        <v>200</v>
      </c>
      <c r="BE39" t="s">
        <v>202</v>
      </c>
      <c r="BF39" t="s">
        <v>197</v>
      </c>
      <c r="BG39" t="s">
        <v>290</v>
      </c>
      <c r="BH39" t="s">
        <v>391</v>
      </c>
      <c r="BJ39" t="s">
        <v>205</v>
      </c>
      <c r="BK39" t="s">
        <v>206</v>
      </c>
      <c r="BL39" t="s">
        <v>194</v>
      </c>
      <c r="BO39" t="s">
        <v>200</v>
      </c>
      <c r="BP39" t="s">
        <v>200</v>
      </c>
      <c r="BR39" t="s">
        <v>232</v>
      </c>
      <c r="BT39" t="s">
        <v>197</v>
      </c>
      <c r="BV39" t="s">
        <v>233</v>
      </c>
      <c r="CA39" t="s">
        <v>194</v>
      </c>
      <c r="CB39" t="s">
        <v>214</v>
      </c>
      <c r="CF39" t="s">
        <v>215</v>
      </c>
      <c r="CH39" t="s">
        <v>214</v>
      </c>
      <c r="CI39" t="s">
        <v>214</v>
      </c>
      <c r="CJ39" t="s">
        <v>214</v>
      </c>
      <c r="CP39" t="s">
        <v>214</v>
      </c>
      <c r="CS39" t="s">
        <v>216</v>
      </c>
      <c r="CV39" t="s">
        <v>214</v>
      </c>
      <c r="CW39" t="s">
        <v>194</v>
      </c>
      <c r="CX39" t="s">
        <v>217</v>
      </c>
      <c r="CY39" t="s">
        <v>214</v>
      </c>
      <c r="DA39" t="s">
        <v>218</v>
      </c>
    </row>
    <row r="40" spans="1:105" x14ac:dyDescent="0.3">
      <c r="A40">
        <v>1224566</v>
      </c>
      <c r="B40">
        <v>930909</v>
      </c>
      <c r="C40" t="str">
        <f>"070411551292"</f>
        <v>070411551292</v>
      </c>
      <c r="D40" t="s">
        <v>392</v>
      </c>
      <c r="E40" t="s">
        <v>393</v>
      </c>
      <c r="F40" t="s">
        <v>394</v>
      </c>
      <c r="G40" s="1">
        <v>39183</v>
      </c>
      <c r="I40" t="s">
        <v>187</v>
      </c>
      <c r="J40" t="s">
        <v>188</v>
      </c>
      <c r="K40" t="s">
        <v>189</v>
      </c>
      <c r="Y40" t="str">
        <f>"2013-09-02T00:00:00"</f>
        <v>2013-09-02T00:00:00</v>
      </c>
      <c r="Z40" t="str">
        <f>"№1"</f>
        <v>№1</v>
      </c>
      <c r="AA40" t="s">
        <v>224</v>
      </c>
      <c r="AB40" t="str">
        <f t="shared" si="5"/>
        <v>akm_arshalu_novoaleksandrovka@mail.ru</v>
      </c>
      <c r="AC40" t="s">
        <v>237</v>
      </c>
      <c r="AD40" t="s">
        <v>192</v>
      </c>
      <c r="AE40" t="s">
        <v>227</v>
      </c>
      <c r="AF40" t="s">
        <v>194</v>
      </c>
      <c r="AH40" t="s">
        <v>195</v>
      </c>
      <c r="AI40">
        <v>1</v>
      </c>
      <c r="AJ40" t="s">
        <v>196</v>
      </c>
      <c r="AK40" t="s">
        <v>194</v>
      </c>
      <c r="AL40" t="s">
        <v>197</v>
      </c>
      <c r="AM40" t="s">
        <v>228</v>
      </c>
      <c r="AR40" t="s">
        <v>194</v>
      </c>
      <c r="AS40" t="s">
        <v>199</v>
      </c>
      <c r="AU40" t="s">
        <v>197</v>
      </c>
      <c r="AZ40" t="s">
        <v>194</v>
      </c>
      <c r="BA40" t="s">
        <v>200</v>
      </c>
      <c r="BB40" t="s">
        <v>201</v>
      </c>
      <c r="BD40" t="s">
        <v>200</v>
      </c>
      <c r="BE40" t="s">
        <v>202</v>
      </c>
      <c r="BF40" t="s">
        <v>197</v>
      </c>
      <c r="BG40" t="s">
        <v>290</v>
      </c>
      <c r="BH40" t="s">
        <v>395</v>
      </c>
      <c r="BJ40" t="s">
        <v>205</v>
      </c>
      <c r="BK40" t="s">
        <v>206</v>
      </c>
      <c r="BL40" t="s">
        <v>194</v>
      </c>
      <c r="BO40" t="s">
        <v>200</v>
      </c>
      <c r="BP40" t="s">
        <v>200</v>
      </c>
      <c r="BR40" t="s">
        <v>232</v>
      </c>
      <c r="BT40" t="s">
        <v>197</v>
      </c>
      <c r="BV40" t="s">
        <v>233</v>
      </c>
      <c r="CA40" t="s">
        <v>194</v>
      </c>
      <c r="CB40" t="s">
        <v>214</v>
      </c>
      <c r="CF40" t="s">
        <v>215</v>
      </c>
      <c r="CH40" t="s">
        <v>214</v>
      </c>
      <c r="CI40" t="s">
        <v>214</v>
      </c>
      <c r="CJ40" t="s">
        <v>214</v>
      </c>
      <c r="CP40" t="s">
        <v>214</v>
      </c>
      <c r="CS40" t="s">
        <v>216</v>
      </c>
      <c r="CV40" t="s">
        <v>214</v>
      </c>
      <c r="CW40" t="s">
        <v>214</v>
      </c>
      <c r="CX40" t="s">
        <v>217</v>
      </c>
      <c r="CY40" t="s">
        <v>214</v>
      </c>
      <c r="DA40" t="s">
        <v>218</v>
      </c>
    </row>
    <row r="41" spans="1:105" x14ac:dyDescent="0.3">
      <c r="A41">
        <v>1224599</v>
      </c>
      <c r="B41">
        <v>930927</v>
      </c>
      <c r="C41" t="str">
        <f>"081010653061"</f>
        <v>081010653061</v>
      </c>
      <c r="D41" t="s">
        <v>396</v>
      </c>
      <c r="E41" t="s">
        <v>235</v>
      </c>
      <c r="F41" t="s">
        <v>336</v>
      </c>
      <c r="G41" s="1">
        <v>39731</v>
      </c>
      <c r="I41" t="s">
        <v>222</v>
      </c>
      <c r="J41" t="s">
        <v>188</v>
      </c>
      <c r="K41" t="s">
        <v>223</v>
      </c>
      <c r="Y41" t="str">
        <f>"2014-09-01T00:00:00"</f>
        <v>2014-09-01T00:00:00</v>
      </c>
      <c r="Z41" t="str">
        <f>"№76"</f>
        <v>№76</v>
      </c>
      <c r="AA41" t="s">
        <v>224</v>
      </c>
      <c r="AC41" t="s">
        <v>225</v>
      </c>
      <c r="AD41" t="s">
        <v>226</v>
      </c>
      <c r="AE41" t="s">
        <v>227</v>
      </c>
      <c r="AF41" t="s">
        <v>194</v>
      </c>
      <c r="AH41" t="s">
        <v>195</v>
      </c>
      <c r="AI41">
        <v>2</v>
      </c>
      <c r="AJ41" t="s">
        <v>196</v>
      </c>
      <c r="AK41" t="s">
        <v>194</v>
      </c>
      <c r="AL41" t="s">
        <v>197</v>
      </c>
      <c r="AM41" t="s">
        <v>228</v>
      </c>
      <c r="AR41" t="s">
        <v>194</v>
      </c>
      <c r="AS41" t="s">
        <v>199</v>
      </c>
      <c r="AU41" t="s">
        <v>197</v>
      </c>
      <c r="AZ41" t="s">
        <v>194</v>
      </c>
      <c r="BA41" t="s">
        <v>200</v>
      </c>
      <c r="BB41" t="s">
        <v>201</v>
      </c>
      <c r="BD41" t="s">
        <v>200</v>
      </c>
      <c r="BE41" t="s">
        <v>229</v>
      </c>
      <c r="BF41" t="s">
        <v>197</v>
      </c>
      <c r="BG41" t="s">
        <v>238</v>
      </c>
      <c r="BH41">
        <v>4</v>
      </c>
      <c r="BJ41" t="s">
        <v>205</v>
      </c>
      <c r="BK41" t="s">
        <v>206</v>
      </c>
      <c r="BL41" t="s">
        <v>194</v>
      </c>
      <c r="BO41" t="s">
        <v>216</v>
      </c>
      <c r="BP41" t="s">
        <v>216</v>
      </c>
      <c r="BR41" t="s">
        <v>232</v>
      </c>
      <c r="BT41" t="s">
        <v>197</v>
      </c>
      <c r="BV41" t="s">
        <v>233</v>
      </c>
      <c r="CA41" t="s">
        <v>194</v>
      </c>
      <c r="CB41" t="s">
        <v>214</v>
      </c>
      <c r="CF41" t="s">
        <v>215</v>
      </c>
      <c r="CH41" t="s">
        <v>214</v>
      </c>
      <c r="CI41" t="s">
        <v>214</v>
      </c>
      <c r="CJ41" t="s">
        <v>214</v>
      </c>
      <c r="CP41" t="s">
        <v>214</v>
      </c>
      <c r="CS41" t="s">
        <v>216</v>
      </c>
      <c r="CV41" t="s">
        <v>214</v>
      </c>
      <c r="CW41" t="s">
        <v>214</v>
      </c>
      <c r="CX41" t="s">
        <v>217</v>
      </c>
      <c r="CY41" t="s">
        <v>214</v>
      </c>
      <c r="DA41" t="s">
        <v>218</v>
      </c>
    </row>
    <row r="42" spans="1:105" x14ac:dyDescent="0.3">
      <c r="A42">
        <v>1224622</v>
      </c>
      <c r="B42">
        <v>930939</v>
      </c>
      <c r="C42" t="str">
        <f>"080301653526"</f>
        <v>080301653526</v>
      </c>
      <c r="D42" t="s">
        <v>397</v>
      </c>
      <c r="E42" t="s">
        <v>398</v>
      </c>
      <c r="F42" t="s">
        <v>399</v>
      </c>
      <c r="G42" s="1">
        <v>39508</v>
      </c>
      <c r="I42" t="s">
        <v>222</v>
      </c>
      <c r="J42" t="s">
        <v>188</v>
      </c>
      <c r="K42" t="s">
        <v>345</v>
      </c>
      <c r="Y42" t="str">
        <f>"2014-09-01T00:00:00"</f>
        <v>2014-09-01T00:00:00</v>
      </c>
      <c r="Z42" t="str">
        <f>"№76"</f>
        <v>№76</v>
      </c>
      <c r="AA42" t="s">
        <v>224</v>
      </c>
      <c r="AC42" t="s">
        <v>237</v>
      </c>
      <c r="AD42" t="s">
        <v>226</v>
      </c>
      <c r="AE42" t="s">
        <v>227</v>
      </c>
      <c r="AF42" t="s">
        <v>194</v>
      </c>
      <c r="AH42" t="s">
        <v>195</v>
      </c>
      <c r="AI42">
        <v>2</v>
      </c>
      <c r="AJ42" t="s">
        <v>196</v>
      </c>
      <c r="AK42" t="s">
        <v>194</v>
      </c>
      <c r="AL42" t="s">
        <v>197</v>
      </c>
      <c r="AM42" t="s">
        <v>228</v>
      </c>
      <c r="AR42" t="s">
        <v>194</v>
      </c>
      <c r="AS42" t="s">
        <v>199</v>
      </c>
      <c r="AU42" t="s">
        <v>197</v>
      </c>
      <c r="AZ42" t="s">
        <v>194</v>
      </c>
      <c r="BA42" t="s">
        <v>200</v>
      </c>
      <c r="BB42" t="s">
        <v>201</v>
      </c>
      <c r="BD42" t="s">
        <v>200</v>
      </c>
      <c r="BE42" t="s">
        <v>202</v>
      </c>
      <c r="BF42" t="s">
        <v>197</v>
      </c>
      <c r="BG42" t="s">
        <v>230</v>
      </c>
      <c r="BH42" t="s">
        <v>400</v>
      </c>
      <c r="BJ42" t="s">
        <v>205</v>
      </c>
      <c r="BK42" t="s">
        <v>206</v>
      </c>
      <c r="BL42" t="s">
        <v>194</v>
      </c>
      <c r="BO42" t="s">
        <v>216</v>
      </c>
      <c r="BP42" t="s">
        <v>216</v>
      </c>
      <c r="BR42" t="s">
        <v>207</v>
      </c>
      <c r="BS42" t="s">
        <v>208</v>
      </c>
      <c r="BT42" t="s">
        <v>197</v>
      </c>
      <c r="BV42" t="s">
        <v>233</v>
      </c>
      <c r="CA42" t="s">
        <v>194</v>
      </c>
      <c r="CB42" t="s">
        <v>214</v>
      </c>
      <c r="CF42" t="s">
        <v>215</v>
      </c>
      <c r="CH42" t="s">
        <v>214</v>
      </c>
      <c r="CI42" t="s">
        <v>214</v>
      </c>
      <c r="CJ42" t="s">
        <v>214</v>
      </c>
      <c r="CP42" t="s">
        <v>214</v>
      </c>
      <c r="CS42" t="s">
        <v>216</v>
      </c>
      <c r="CV42" t="s">
        <v>214</v>
      </c>
      <c r="CW42" t="s">
        <v>214</v>
      </c>
      <c r="CX42" t="s">
        <v>217</v>
      </c>
      <c r="CY42" t="s">
        <v>214</v>
      </c>
      <c r="DA42" t="s">
        <v>218</v>
      </c>
    </row>
    <row r="43" spans="1:105" x14ac:dyDescent="0.3">
      <c r="A43">
        <v>1224936</v>
      </c>
      <c r="B43">
        <v>931140</v>
      </c>
      <c r="C43" t="str">
        <f>"110113604069"</f>
        <v>110113604069</v>
      </c>
      <c r="D43" t="s">
        <v>401</v>
      </c>
      <c r="E43" t="s">
        <v>402</v>
      </c>
      <c r="F43" t="s">
        <v>403</v>
      </c>
      <c r="G43" s="1">
        <v>40556</v>
      </c>
      <c r="I43" t="s">
        <v>222</v>
      </c>
      <c r="J43" t="s">
        <v>188</v>
      </c>
      <c r="K43" t="s">
        <v>189</v>
      </c>
      <c r="Y43" t="str">
        <f>"2016-09-01T00:00:00"</f>
        <v>2016-09-01T00:00:00</v>
      </c>
      <c r="Z43" t="str">
        <f>"№45"</f>
        <v>№45</v>
      </c>
      <c r="AA43" t="s">
        <v>314</v>
      </c>
      <c r="AC43" t="s">
        <v>237</v>
      </c>
      <c r="AD43" t="s">
        <v>261</v>
      </c>
      <c r="AE43" t="s">
        <v>227</v>
      </c>
      <c r="AF43" t="s">
        <v>194</v>
      </c>
      <c r="AH43" t="s">
        <v>195</v>
      </c>
      <c r="AI43">
        <v>2</v>
      </c>
      <c r="AJ43" t="s">
        <v>196</v>
      </c>
      <c r="AK43" t="s">
        <v>194</v>
      </c>
      <c r="AL43" t="s">
        <v>197</v>
      </c>
      <c r="AM43" t="s">
        <v>198</v>
      </c>
      <c r="AQ43" t="str">
        <f>"2020-11-04T09:13:27"</f>
        <v>2020-11-04T09:13:27</v>
      </c>
      <c r="AR43" t="s">
        <v>194</v>
      </c>
      <c r="AS43" t="s">
        <v>199</v>
      </c>
      <c r="AU43" t="s">
        <v>197</v>
      </c>
      <c r="AZ43" t="s">
        <v>194</v>
      </c>
      <c r="BA43" t="s">
        <v>200</v>
      </c>
      <c r="BB43" t="s">
        <v>201</v>
      </c>
      <c r="BC43" t="s">
        <v>317</v>
      </c>
      <c r="BD43" t="s">
        <v>200</v>
      </c>
      <c r="BE43" t="s">
        <v>202</v>
      </c>
      <c r="BF43" t="s">
        <v>197</v>
      </c>
      <c r="BG43" t="s">
        <v>238</v>
      </c>
      <c r="BH43">
        <v>3</v>
      </c>
      <c r="BJ43" t="s">
        <v>205</v>
      </c>
      <c r="BK43" t="s">
        <v>206</v>
      </c>
      <c r="BL43" t="s">
        <v>194</v>
      </c>
      <c r="BO43" t="s">
        <v>200</v>
      </c>
      <c r="BP43" t="s">
        <v>200</v>
      </c>
      <c r="BR43" t="s">
        <v>232</v>
      </c>
      <c r="BT43" t="s">
        <v>197</v>
      </c>
      <c r="BV43" t="s">
        <v>233</v>
      </c>
      <c r="CA43" t="s">
        <v>194</v>
      </c>
      <c r="CB43" t="s">
        <v>194</v>
      </c>
      <c r="CC43" t="s">
        <v>264</v>
      </c>
      <c r="CD43" t="s">
        <v>265</v>
      </c>
      <c r="CE43" t="s">
        <v>266</v>
      </c>
      <c r="CF43" t="s">
        <v>215</v>
      </c>
      <c r="CH43" t="s">
        <v>214</v>
      </c>
      <c r="CI43" t="s">
        <v>214</v>
      </c>
      <c r="CJ43" t="s">
        <v>214</v>
      </c>
      <c r="CP43" t="s">
        <v>214</v>
      </c>
      <c r="CS43" t="s">
        <v>216</v>
      </c>
      <c r="CV43" t="s">
        <v>214</v>
      </c>
      <c r="CW43" t="s">
        <v>214</v>
      </c>
      <c r="CX43" t="s">
        <v>217</v>
      </c>
      <c r="CY43" t="s">
        <v>194</v>
      </c>
      <c r="DA43" t="s">
        <v>218</v>
      </c>
    </row>
    <row r="44" spans="1:105" x14ac:dyDescent="0.3">
      <c r="A44">
        <v>1225163</v>
      </c>
      <c r="B44">
        <v>79062</v>
      </c>
      <c r="C44" t="str">
        <f>"080721652869"</f>
        <v>080721652869</v>
      </c>
      <c r="D44" t="s">
        <v>404</v>
      </c>
      <c r="E44" t="s">
        <v>371</v>
      </c>
      <c r="F44" t="s">
        <v>236</v>
      </c>
      <c r="G44" s="1">
        <v>39650</v>
      </c>
      <c r="I44" t="s">
        <v>222</v>
      </c>
      <c r="J44" t="s">
        <v>188</v>
      </c>
      <c r="K44" t="s">
        <v>223</v>
      </c>
      <c r="Y44" t="str">
        <f>"2018-08-06T00:00:00"</f>
        <v>2018-08-06T00:00:00</v>
      </c>
      <c r="Z44" t="str">
        <f>"№19"</f>
        <v>№19</v>
      </c>
      <c r="AA44" t="s">
        <v>224</v>
      </c>
      <c r="AC44" t="s">
        <v>191</v>
      </c>
      <c r="AD44" t="s">
        <v>226</v>
      </c>
      <c r="AE44" t="s">
        <v>193</v>
      </c>
      <c r="AF44" t="s">
        <v>194</v>
      </c>
      <c r="AH44" t="s">
        <v>195</v>
      </c>
      <c r="AI44">
        <v>2</v>
      </c>
      <c r="AJ44" t="s">
        <v>196</v>
      </c>
      <c r="AK44" t="s">
        <v>194</v>
      </c>
      <c r="AL44" t="s">
        <v>197</v>
      </c>
      <c r="AM44" t="s">
        <v>198</v>
      </c>
      <c r="AR44" t="s">
        <v>194</v>
      </c>
      <c r="AS44" t="s">
        <v>199</v>
      </c>
      <c r="AU44" t="s">
        <v>197</v>
      </c>
      <c r="AZ44" t="s">
        <v>194</v>
      </c>
      <c r="BA44" t="s">
        <v>200</v>
      </c>
      <c r="BB44" t="s">
        <v>201</v>
      </c>
      <c r="BD44" t="s">
        <v>200</v>
      </c>
      <c r="BE44" t="s">
        <v>202</v>
      </c>
      <c r="BF44" t="s">
        <v>197</v>
      </c>
      <c r="BG44" t="s">
        <v>238</v>
      </c>
      <c r="BH44">
        <v>3</v>
      </c>
      <c r="BJ44" t="s">
        <v>205</v>
      </c>
      <c r="BK44" t="s">
        <v>206</v>
      </c>
      <c r="BL44" t="s">
        <v>194</v>
      </c>
      <c r="BO44" t="s">
        <v>216</v>
      </c>
      <c r="BP44" t="s">
        <v>216</v>
      </c>
      <c r="BR44" t="s">
        <v>232</v>
      </c>
      <c r="BT44" t="s">
        <v>197</v>
      </c>
      <c r="BV44" t="s">
        <v>233</v>
      </c>
      <c r="CA44" t="s">
        <v>194</v>
      </c>
      <c r="CB44" t="s">
        <v>214</v>
      </c>
      <c r="CF44" t="s">
        <v>215</v>
      </c>
      <c r="CH44" t="s">
        <v>214</v>
      </c>
      <c r="CI44" t="s">
        <v>214</v>
      </c>
      <c r="CJ44" t="s">
        <v>214</v>
      </c>
      <c r="CP44" t="s">
        <v>214</v>
      </c>
      <c r="CS44" t="s">
        <v>216</v>
      </c>
      <c r="CV44" t="s">
        <v>214</v>
      </c>
      <c r="CW44" t="s">
        <v>214</v>
      </c>
      <c r="CX44" t="s">
        <v>217</v>
      </c>
      <c r="CY44" t="s">
        <v>214</v>
      </c>
      <c r="DA44" t="s">
        <v>218</v>
      </c>
    </row>
    <row r="45" spans="1:105" x14ac:dyDescent="0.3">
      <c r="A45">
        <v>1225182</v>
      </c>
      <c r="B45">
        <v>896949</v>
      </c>
      <c r="C45" t="str">
        <f>"100313652807"</f>
        <v>100313652807</v>
      </c>
      <c r="D45" t="s">
        <v>405</v>
      </c>
      <c r="E45" t="s">
        <v>406</v>
      </c>
      <c r="F45" t="s">
        <v>407</v>
      </c>
      <c r="G45" s="1">
        <v>40250</v>
      </c>
      <c r="I45" t="s">
        <v>222</v>
      </c>
      <c r="J45" t="s">
        <v>188</v>
      </c>
      <c r="K45" t="s">
        <v>189</v>
      </c>
      <c r="Y45" t="str">
        <f>"2017-08-07T00:00:00"</f>
        <v>2017-08-07T00:00:00</v>
      </c>
      <c r="Z45" t="str">
        <f>"№25"</f>
        <v>№25</v>
      </c>
      <c r="AA45" t="s">
        <v>224</v>
      </c>
      <c r="AC45" t="s">
        <v>225</v>
      </c>
      <c r="AD45" t="s">
        <v>261</v>
      </c>
      <c r="AE45" t="s">
        <v>227</v>
      </c>
      <c r="AF45" t="s">
        <v>194</v>
      </c>
      <c r="AH45" t="s">
        <v>195</v>
      </c>
      <c r="AI45">
        <v>2</v>
      </c>
      <c r="AJ45" t="s">
        <v>196</v>
      </c>
      <c r="AK45" t="s">
        <v>194</v>
      </c>
      <c r="AL45" t="s">
        <v>197</v>
      </c>
      <c r="AM45" t="s">
        <v>198</v>
      </c>
      <c r="AR45" t="s">
        <v>194</v>
      </c>
      <c r="AS45" t="s">
        <v>199</v>
      </c>
      <c r="AU45" t="s">
        <v>197</v>
      </c>
      <c r="AZ45" t="s">
        <v>194</v>
      </c>
      <c r="BA45" t="s">
        <v>200</v>
      </c>
      <c r="BB45" t="s">
        <v>201</v>
      </c>
      <c r="BC45" t="s">
        <v>200</v>
      </c>
      <c r="BE45" t="s">
        <v>202</v>
      </c>
      <c r="BF45" t="s">
        <v>197</v>
      </c>
      <c r="BG45" t="s">
        <v>230</v>
      </c>
      <c r="BH45" t="s">
        <v>400</v>
      </c>
      <c r="BJ45" t="s">
        <v>205</v>
      </c>
      <c r="BK45" t="s">
        <v>206</v>
      </c>
      <c r="BL45" t="s">
        <v>194</v>
      </c>
      <c r="BO45" t="s">
        <v>200</v>
      </c>
      <c r="BP45" t="s">
        <v>200</v>
      </c>
      <c r="BR45" t="s">
        <v>232</v>
      </c>
      <c r="BT45" t="s">
        <v>197</v>
      </c>
      <c r="BV45" t="s">
        <v>233</v>
      </c>
      <c r="CA45" t="s">
        <v>194</v>
      </c>
      <c r="CB45" t="s">
        <v>194</v>
      </c>
      <c r="CC45" t="s">
        <v>264</v>
      </c>
      <c r="CD45" t="s">
        <v>265</v>
      </c>
      <c r="CE45" t="s">
        <v>266</v>
      </c>
      <c r="CF45" t="s">
        <v>215</v>
      </c>
      <c r="CH45" t="s">
        <v>214</v>
      </c>
      <c r="CI45" t="s">
        <v>214</v>
      </c>
      <c r="CJ45" t="s">
        <v>214</v>
      </c>
      <c r="CP45" t="s">
        <v>214</v>
      </c>
      <c r="CS45" t="s">
        <v>216</v>
      </c>
      <c r="CV45" t="s">
        <v>214</v>
      </c>
      <c r="CW45" t="s">
        <v>214</v>
      </c>
      <c r="CX45" t="s">
        <v>217</v>
      </c>
      <c r="CY45" t="s">
        <v>214</v>
      </c>
      <c r="DA45" t="s">
        <v>218</v>
      </c>
    </row>
    <row r="46" spans="1:105" x14ac:dyDescent="0.3">
      <c r="A46">
        <v>1225195</v>
      </c>
      <c r="B46">
        <v>931288</v>
      </c>
      <c r="C46" t="str">
        <f>"090119651710"</f>
        <v>090119651710</v>
      </c>
      <c r="D46" t="s">
        <v>408</v>
      </c>
      <c r="E46" t="s">
        <v>409</v>
      </c>
      <c r="F46" t="s">
        <v>410</v>
      </c>
      <c r="G46" s="1">
        <v>39832</v>
      </c>
      <c r="I46" t="s">
        <v>222</v>
      </c>
      <c r="J46" t="s">
        <v>188</v>
      </c>
      <c r="K46" t="s">
        <v>189</v>
      </c>
      <c r="Y46" t="str">
        <f>"2015-09-01T00:00:00"</f>
        <v>2015-09-01T00:00:00</v>
      </c>
      <c r="Z46" t="str">
        <f>"№46"</f>
        <v>№46</v>
      </c>
      <c r="AA46" t="s">
        <v>190</v>
      </c>
      <c r="AC46" t="s">
        <v>237</v>
      </c>
      <c r="AD46" t="s">
        <v>226</v>
      </c>
      <c r="AE46" t="s">
        <v>227</v>
      </c>
      <c r="AF46" t="s">
        <v>194</v>
      </c>
      <c r="AH46" t="s">
        <v>195</v>
      </c>
      <c r="AI46">
        <v>1</v>
      </c>
      <c r="AJ46" t="s">
        <v>196</v>
      </c>
      <c r="AK46" t="s">
        <v>194</v>
      </c>
      <c r="AL46" t="s">
        <v>197</v>
      </c>
      <c r="AM46" t="s">
        <v>228</v>
      </c>
      <c r="AR46" t="s">
        <v>194</v>
      </c>
      <c r="AS46" t="s">
        <v>199</v>
      </c>
      <c r="AU46" t="s">
        <v>197</v>
      </c>
      <c r="AZ46" t="s">
        <v>194</v>
      </c>
      <c r="BA46" t="s">
        <v>200</v>
      </c>
      <c r="BB46" t="s">
        <v>201</v>
      </c>
      <c r="BD46" t="s">
        <v>200</v>
      </c>
      <c r="BE46" t="s">
        <v>229</v>
      </c>
      <c r="BF46" t="s">
        <v>197</v>
      </c>
      <c r="BG46" t="s">
        <v>238</v>
      </c>
      <c r="BH46">
        <v>4</v>
      </c>
      <c r="BJ46" t="s">
        <v>205</v>
      </c>
      <c r="BK46" t="s">
        <v>206</v>
      </c>
      <c r="BL46" t="s">
        <v>194</v>
      </c>
      <c r="BO46" t="s">
        <v>200</v>
      </c>
      <c r="BP46" t="s">
        <v>200</v>
      </c>
      <c r="BR46" t="s">
        <v>232</v>
      </c>
      <c r="BT46" t="s">
        <v>197</v>
      </c>
      <c r="BV46" t="s">
        <v>233</v>
      </c>
      <c r="CA46" t="s">
        <v>194</v>
      </c>
      <c r="CB46" t="s">
        <v>214</v>
      </c>
      <c r="CF46" t="s">
        <v>215</v>
      </c>
      <c r="CH46" t="s">
        <v>214</v>
      </c>
      <c r="CI46" t="s">
        <v>214</v>
      </c>
      <c r="CJ46" t="s">
        <v>214</v>
      </c>
      <c r="CP46" t="s">
        <v>214</v>
      </c>
      <c r="CS46" t="s">
        <v>216</v>
      </c>
      <c r="CV46" t="s">
        <v>214</v>
      </c>
      <c r="CW46" t="s">
        <v>214</v>
      </c>
      <c r="CX46" t="s">
        <v>217</v>
      </c>
      <c r="CY46" t="s">
        <v>214</v>
      </c>
      <c r="DA46" t="s">
        <v>218</v>
      </c>
    </row>
    <row r="47" spans="1:105" x14ac:dyDescent="0.3">
      <c r="A47">
        <v>1225229</v>
      </c>
      <c r="B47">
        <v>931306</v>
      </c>
      <c r="C47" t="str">
        <f>"100522550157"</f>
        <v>100522550157</v>
      </c>
      <c r="D47" t="s">
        <v>411</v>
      </c>
      <c r="E47" t="s">
        <v>412</v>
      </c>
      <c r="G47" s="1">
        <v>40320</v>
      </c>
      <c r="I47" t="s">
        <v>187</v>
      </c>
      <c r="J47" t="s">
        <v>188</v>
      </c>
      <c r="K47" t="s">
        <v>189</v>
      </c>
      <c r="Y47" t="str">
        <f>"2018-08-27T00:00:00"</f>
        <v>2018-08-27T00:00:00</v>
      </c>
      <c r="Z47" t="str">
        <f>"№21"</f>
        <v>№21</v>
      </c>
      <c r="AA47" t="s">
        <v>224</v>
      </c>
      <c r="AC47" t="s">
        <v>191</v>
      </c>
      <c r="AD47" t="s">
        <v>242</v>
      </c>
      <c r="AE47" t="s">
        <v>413</v>
      </c>
      <c r="AF47" t="s">
        <v>194</v>
      </c>
      <c r="AH47" t="s">
        <v>195</v>
      </c>
      <c r="AI47">
        <v>1</v>
      </c>
      <c r="AJ47" t="s">
        <v>196</v>
      </c>
      <c r="AK47" t="s">
        <v>194</v>
      </c>
      <c r="AL47" t="s">
        <v>197</v>
      </c>
      <c r="AM47" t="s">
        <v>198</v>
      </c>
      <c r="AR47" t="s">
        <v>194</v>
      </c>
      <c r="AS47" t="s">
        <v>199</v>
      </c>
      <c r="AU47" t="s">
        <v>197</v>
      </c>
      <c r="AZ47" t="s">
        <v>194</v>
      </c>
      <c r="BA47" t="s">
        <v>200</v>
      </c>
      <c r="BB47" t="s">
        <v>201</v>
      </c>
      <c r="BD47" t="s">
        <v>200</v>
      </c>
      <c r="BE47" t="s">
        <v>229</v>
      </c>
      <c r="BF47" t="s">
        <v>197</v>
      </c>
      <c r="BG47" t="s">
        <v>230</v>
      </c>
      <c r="BH47" t="s">
        <v>414</v>
      </c>
      <c r="BJ47" t="s">
        <v>205</v>
      </c>
      <c r="BK47" t="s">
        <v>206</v>
      </c>
      <c r="BL47" t="s">
        <v>194</v>
      </c>
      <c r="BO47" t="s">
        <v>200</v>
      </c>
      <c r="BP47" t="s">
        <v>200</v>
      </c>
      <c r="BR47" t="s">
        <v>246</v>
      </c>
      <c r="BS47" t="s">
        <v>208</v>
      </c>
      <c r="BT47" t="s">
        <v>197</v>
      </c>
      <c r="BV47" t="s">
        <v>415</v>
      </c>
      <c r="BW47" t="s">
        <v>416</v>
      </c>
      <c r="BX47" t="s">
        <v>211</v>
      </c>
      <c r="BY47" t="s">
        <v>212</v>
      </c>
      <c r="BZ47" t="s">
        <v>417</v>
      </c>
      <c r="CA47" t="s">
        <v>194</v>
      </c>
      <c r="CB47" t="s">
        <v>214</v>
      </c>
      <c r="CF47" t="s">
        <v>215</v>
      </c>
      <c r="CH47" t="s">
        <v>214</v>
      </c>
      <c r="CI47" t="s">
        <v>214</v>
      </c>
      <c r="CJ47" t="s">
        <v>214</v>
      </c>
      <c r="CP47" t="s">
        <v>214</v>
      </c>
      <c r="CS47" t="s">
        <v>216</v>
      </c>
      <c r="CV47" t="s">
        <v>214</v>
      </c>
      <c r="CW47" t="s">
        <v>214</v>
      </c>
      <c r="CX47" t="s">
        <v>217</v>
      </c>
      <c r="CY47" t="s">
        <v>214</v>
      </c>
      <c r="DA47" t="s">
        <v>218</v>
      </c>
    </row>
    <row r="48" spans="1:105" x14ac:dyDescent="0.3">
      <c r="A48">
        <v>1225253</v>
      </c>
      <c r="B48">
        <v>931320</v>
      </c>
      <c r="C48" t="str">
        <f>"100219553947"</f>
        <v>100219553947</v>
      </c>
      <c r="D48" t="s">
        <v>418</v>
      </c>
      <c r="E48" t="s">
        <v>419</v>
      </c>
      <c r="F48" t="s">
        <v>344</v>
      </c>
      <c r="G48" s="1">
        <v>40228</v>
      </c>
      <c r="I48" t="s">
        <v>187</v>
      </c>
      <c r="J48" t="s">
        <v>188</v>
      </c>
      <c r="K48" t="s">
        <v>223</v>
      </c>
      <c r="Y48" t="str">
        <f>"2016-11-16T00:00:00"</f>
        <v>2016-11-16T00:00:00</v>
      </c>
      <c r="Z48" t="str">
        <f>"№69"</f>
        <v>№69</v>
      </c>
      <c r="AA48" t="s">
        <v>224</v>
      </c>
      <c r="AC48" t="s">
        <v>225</v>
      </c>
      <c r="AD48" t="s">
        <v>242</v>
      </c>
      <c r="AE48" t="s">
        <v>227</v>
      </c>
      <c r="AF48" t="s">
        <v>194</v>
      </c>
      <c r="AH48" t="s">
        <v>195</v>
      </c>
      <c r="AI48">
        <v>1</v>
      </c>
      <c r="AJ48" t="s">
        <v>196</v>
      </c>
      <c r="AK48" t="s">
        <v>194</v>
      </c>
      <c r="AL48" t="s">
        <v>197</v>
      </c>
      <c r="AM48" t="s">
        <v>198</v>
      </c>
      <c r="AR48" t="s">
        <v>194</v>
      </c>
      <c r="AS48" t="s">
        <v>199</v>
      </c>
      <c r="AU48" t="s">
        <v>197</v>
      </c>
      <c r="AZ48" t="s">
        <v>194</v>
      </c>
      <c r="BA48" t="s">
        <v>200</v>
      </c>
      <c r="BB48" t="s">
        <v>201</v>
      </c>
      <c r="BD48" t="s">
        <v>200</v>
      </c>
      <c r="BE48" t="s">
        <v>202</v>
      </c>
      <c r="BF48" t="s">
        <v>197</v>
      </c>
      <c r="BG48" t="s">
        <v>230</v>
      </c>
      <c r="BH48" t="s">
        <v>420</v>
      </c>
      <c r="BJ48" t="s">
        <v>205</v>
      </c>
      <c r="BK48" t="s">
        <v>206</v>
      </c>
      <c r="BL48" t="s">
        <v>194</v>
      </c>
      <c r="BO48" t="s">
        <v>216</v>
      </c>
      <c r="BP48" t="s">
        <v>216</v>
      </c>
      <c r="BR48" t="s">
        <v>232</v>
      </c>
      <c r="BT48" t="s">
        <v>197</v>
      </c>
      <c r="BV48" t="s">
        <v>233</v>
      </c>
      <c r="CA48" t="s">
        <v>194</v>
      </c>
      <c r="CB48" t="s">
        <v>214</v>
      </c>
      <c r="CF48" t="s">
        <v>215</v>
      </c>
      <c r="CH48" t="s">
        <v>214</v>
      </c>
      <c r="CI48" t="s">
        <v>214</v>
      </c>
      <c r="CJ48" t="s">
        <v>214</v>
      </c>
      <c r="CP48" t="s">
        <v>214</v>
      </c>
      <c r="CS48" t="s">
        <v>216</v>
      </c>
      <c r="CV48" t="s">
        <v>214</v>
      </c>
      <c r="CW48" t="s">
        <v>214</v>
      </c>
      <c r="CX48" t="s">
        <v>217</v>
      </c>
      <c r="CY48" t="s">
        <v>214</v>
      </c>
      <c r="DA48" t="s">
        <v>218</v>
      </c>
    </row>
    <row r="49" spans="1:105" x14ac:dyDescent="0.3">
      <c r="A49">
        <v>1225386</v>
      </c>
      <c r="B49">
        <v>609944</v>
      </c>
      <c r="C49" t="str">
        <f>"110618501618"</f>
        <v>110618501618</v>
      </c>
      <c r="D49" t="s">
        <v>380</v>
      </c>
      <c r="E49" t="s">
        <v>421</v>
      </c>
      <c r="F49" t="s">
        <v>381</v>
      </c>
      <c r="G49" s="1">
        <v>40712</v>
      </c>
      <c r="I49" t="s">
        <v>187</v>
      </c>
      <c r="J49" t="s">
        <v>188</v>
      </c>
      <c r="K49" t="s">
        <v>382</v>
      </c>
      <c r="Y49" t="str">
        <f>"2017-08-21T00:00:00"</f>
        <v>2017-08-21T00:00:00</v>
      </c>
      <c r="Z49" t="str">
        <f>"№25"</f>
        <v>№25</v>
      </c>
      <c r="AA49" t="s">
        <v>224</v>
      </c>
      <c r="AC49" t="s">
        <v>191</v>
      </c>
      <c r="AD49" t="s">
        <v>261</v>
      </c>
      <c r="AE49" t="s">
        <v>243</v>
      </c>
      <c r="AF49" t="s">
        <v>194</v>
      </c>
      <c r="AH49" t="s">
        <v>195</v>
      </c>
      <c r="AI49">
        <v>2</v>
      </c>
      <c r="AJ49" t="s">
        <v>196</v>
      </c>
      <c r="AK49" t="s">
        <v>194</v>
      </c>
      <c r="AL49" t="s">
        <v>197</v>
      </c>
      <c r="AM49" t="s">
        <v>198</v>
      </c>
      <c r="AR49" t="s">
        <v>194</v>
      </c>
      <c r="AS49" t="s">
        <v>199</v>
      </c>
      <c r="AU49" t="s">
        <v>197</v>
      </c>
      <c r="AZ49" t="s">
        <v>194</v>
      </c>
      <c r="BA49" t="s">
        <v>200</v>
      </c>
      <c r="BB49" t="s">
        <v>201</v>
      </c>
      <c r="BD49" t="s">
        <v>200</v>
      </c>
      <c r="BE49" t="s">
        <v>202</v>
      </c>
      <c r="BF49" t="s">
        <v>197</v>
      </c>
      <c r="BG49" t="s">
        <v>269</v>
      </c>
      <c r="BH49" t="s">
        <v>422</v>
      </c>
      <c r="BJ49" t="s">
        <v>205</v>
      </c>
      <c r="BK49" t="s">
        <v>206</v>
      </c>
      <c r="BL49" t="s">
        <v>194</v>
      </c>
      <c r="BO49" t="s">
        <v>216</v>
      </c>
      <c r="BP49" t="s">
        <v>216</v>
      </c>
      <c r="BQ49" t="s">
        <v>286</v>
      </c>
      <c r="BR49" t="s">
        <v>232</v>
      </c>
      <c r="BT49" t="s">
        <v>197</v>
      </c>
      <c r="BV49" t="s">
        <v>233</v>
      </c>
      <c r="CA49" t="s">
        <v>194</v>
      </c>
      <c r="CB49" t="s">
        <v>194</v>
      </c>
      <c r="CC49" t="s">
        <v>264</v>
      </c>
      <c r="CD49" t="s">
        <v>265</v>
      </c>
      <c r="CE49" t="s">
        <v>266</v>
      </c>
      <c r="CF49" t="s">
        <v>215</v>
      </c>
      <c r="CH49" t="s">
        <v>214</v>
      </c>
      <c r="CI49" t="s">
        <v>214</v>
      </c>
      <c r="CJ49" t="s">
        <v>214</v>
      </c>
      <c r="CP49" t="s">
        <v>214</v>
      </c>
      <c r="CS49" t="s">
        <v>216</v>
      </c>
      <c r="CV49" t="s">
        <v>214</v>
      </c>
      <c r="CW49" t="s">
        <v>214</v>
      </c>
      <c r="CX49" t="s">
        <v>217</v>
      </c>
      <c r="CY49" t="s">
        <v>214</v>
      </c>
      <c r="DA49" t="s">
        <v>218</v>
      </c>
    </row>
    <row r="50" spans="1:105" x14ac:dyDescent="0.3">
      <c r="A50">
        <v>1225401</v>
      </c>
      <c r="B50">
        <v>931410</v>
      </c>
      <c r="C50" t="str">
        <f>"110705605164"</f>
        <v>110705605164</v>
      </c>
      <c r="D50" t="s">
        <v>292</v>
      </c>
      <c r="E50" t="s">
        <v>423</v>
      </c>
      <c r="F50" t="s">
        <v>274</v>
      </c>
      <c r="G50" s="1">
        <v>40729</v>
      </c>
      <c r="I50" t="s">
        <v>222</v>
      </c>
      <c r="J50" t="s">
        <v>188</v>
      </c>
      <c r="K50" t="s">
        <v>189</v>
      </c>
      <c r="Y50" t="str">
        <f>"2018-08-27T00:00:00"</f>
        <v>2018-08-27T00:00:00</v>
      </c>
      <c r="Z50" t="str">
        <f>"№21"</f>
        <v>№21</v>
      </c>
      <c r="AA50" t="s">
        <v>224</v>
      </c>
      <c r="AC50" t="s">
        <v>191</v>
      </c>
      <c r="AD50" t="s">
        <v>285</v>
      </c>
      <c r="AE50" t="s">
        <v>243</v>
      </c>
      <c r="AF50" t="s">
        <v>194</v>
      </c>
      <c r="AH50" t="s">
        <v>195</v>
      </c>
      <c r="AI50">
        <v>1</v>
      </c>
      <c r="AJ50" t="s">
        <v>196</v>
      </c>
      <c r="AK50" t="s">
        <v>194</v>
      </c>
      <c r="AL50" t="s">
        <v>197</v>
      </c>
      <c r="AM50" t="s">
        <v>228</v>
      </c>
      <c r="AR50" t="s">
        <v>194</v>
      </c>
      <c r="AS50" t="s">
        <v>199</v>
      </c>
      <c r="AU50" t="s">
        <v>197</v>
      </c>
      <c r="AZ50" t="s">
        <v>194</v>
      </c>
      <c r="BA50" t="s">
        <v>200</v>
      </c>
      <c r="BB50" t="s">
        <v>201</v>
      </c>
      <c r="BD50" t="s">
        <v>200</v>
      </c>
      <c r="BE50" t="s">
        <v>202</v>
      </c>
      <c r="BF50" t="s">
        <v>197</v>
      </c>
      <c r="BG50" t="s">
        <v>230</v>
      </c>
      <c r="BH50" t="s">
        <v>420</v>
      </c>
      <c r="BJ50" t="s">
        <v>205</v>
      </c>
      <c r="BK50" t="s">
        <v>206</v>
      </c>
      <c r="BL50" t="s">
        <v>194</v>
      </c>
      <c r="BO50" t="s">
        <v>200</v>
      </c>
      <c r="BP50" t="s">
        <v>200</v>
      </c>
      <c r="BQ50" t="s">
        <v>280</v>
      </c>
      <c r="BR50" t="s">
        <v>232</v>
      </c>
      <c r="BT50" t="s">
        <v>197</v>
      </c>
      <c r="BV50" t="s">
        <v>233</v>
      </c>
      <c r="CA50" t="s">
        <v>194</v>
      </c>
      <c r="CB50" t="s">
        <v>194</v>
      </c>
      <c r="CC50" t="s">
        <v>264</v>
      </c>
      <c r="CD50" t="s">
        <v>265</v>
      </c>
      <c r="CE50" t="s">
        <v>266</v>
      </c>
      <c r="CF50" t="s">
        <v>215</v>
      </c>
      <c r="CH50" t="s">
        <v>214</v>
      </c>
      <c r="CI50" t="s">
        <v>214</v>
      </c>
      <c r="CJ50" t="s">
        <v>214</v>
      </c>
      <c r="CP50" t="s">
        <v>214</v>
      </c>
      <c r="CS50" t="s">
        <v>216</v>
      </c>
      <c r="CV50" t="s">
        <v>214</v>
      </c>
      <c r="CW50" t="s">
        <v>214</v>
      </c>
      <c r="CX50" t="s">
        <v>217</v>
      </c>
      <c r="CY50" t="s">
        <v>214</v>
      </c>
      <c r="DA50" t="s">
        <v>218</v>
      </c>
    </row>
    <row r="51" spans="1:105" x14ac:dyDescent="0.3">
      <c r="A51">
        <v>1225410</v>
      </c>
      <c r="B51">
        <v>610134</v>
      </c>
      <c r="C51" t="str">
        <f>"100724650230"</f>
        <v>100724650230</v>
      </c>
      <c r="D51" t="s">
        <v>424</v>
      </c>
      <c r="E51" t="s">
        <v>425</v>
      </c>
      <c r="F51" t="s">
        <v>426</v>
      </c>
      <c r="G51" s="1">
        <v>40383</v>
      </c>
      <c r="I51" t="s">
        <v>222</v>
      </c>
      <c r="J51" t="s">
        <v>188</v>
      </c>
      <c r="K51" t="s">
        <v>189</v>
      </c>
      <c r="Y51" t="str">
        <f>"2016-08-29T00:00:00"</f>
        <v>2016-08-29T00:00:00</v>
      </c>
      <c r="Z51" t="str">
        <f>"№39"</f>
        <v>№39</v>
      </c>
      <c r="AA51" t="s">
        <v>190</v>
      </c>
      <c r="AC51" t="s">
        <v>237</v>
      </c>
      <c r="AD51" t="s">
        <v>242</v>
      </c>
      <c r="AE51" t="s">
        <v>193</v>
      </c>
      <c r="AF51" t="s">
        <v>194</v>
      </c>
      <c r="AH51" t="s">
        <v>195</v>
      </c>
      <c r="AI51">
        <v>1</v>
      </c>
      <c r="AJ51" t="s">
        <v>196</v>
      </c>
      <c r="AK51" t="s">
        <v>194</v>
      </c>
      <c r="AL51" t="s">
        <v>197</v>
      </c>
      <c r="AM51" t="s">
        <v>198</v>
      </c>
      <c r="AR51" t="s">
        <v>194</v>
      </c>
      <c r="AS51" t="s">
        <v>199</v>
      </c>
      <c r="AU51" t="s">
        <v>197</v>
      </c>
      <c r="AZ51" t="s">
        <v>194</v>
      </c>
      <c r="BA51" t="s">
        <v>200</v>
      </c>
      <c r="BB51" t="s">
        <v>201</v>
      </c>
      <c r="BD51" t="s">
        <v>200</v>
      </c>
      <c r="BE51" t="s">
        <v>229</v>
      </c>
      <c r="BF51" t="s">
        <v>197</v>
      </c>
      <c r="BG51" t="s">
        <v>230</v>
      </c>
      <c r="BH51" t="s">
        <v>299</v>
      </c>
      <c r="BJ51" t="s">
        <v>205</v>
      </c>
      <c r="BK51" t="s">
        <v>206</v>
      </c>
      <c r="BL51" t="s">
        <v>194</v>
      </c>
      <c r="BO51" t="s">
        <v>216</v>
      </c>
      <c r="BP51" t="s">
        <v>216</v>
      </c>
      <c r="BR51" t="s">
        <v>232</v>
      </c>
      <c r="BT51" t="s">
        <v>197</v>
      </c>
      <c r="BV51" t="s">
        <v>233</v>
      </c>
      <c r="CA51" t="s">
        <v>214</v>
      </c>
      <c r="CB51" t="s">
        <v>214</v>
      </c>
      <c r="CF51" t="s">
        <v>215</v>
      </c>
      <c r="CH51" t="s">
        <v>214</v>
      </c>
      <c r="CI51" t="s">
        <v>214</v>
      </c>
      <c r="CJ51" t="s">
        <v>214</v>
      </c>
      <c r="CP51" t="s">
        <v>214</v>
      </c>
      <c r="CS51" t="s">
        <v>216</v>
      </c>
      <c r="CV51" t="s">
        <v>214</v>
      </c>
      <c r="CW51" t="s">
        <v>214</v>
      </c>
      <c r="CX51" t="s">
        <v>217</v>
      </c>
      <c r="CY51" t="s">
        <v>214</v>
      </c>
      <c r="DA51" t="s">
        <v>218</v>
      </c>
    </row>
    <row r="52" spans="1:105" x14ac:dyDescent="0.3">
      <c r="A52">
        <v>1225423</v>
      </c>
      <c r="B52">
        <v>610213</v>
      </c>
      <c r="C52" t="str">
        <f>"100617653451"</f>
        <v>100617653451</v>
      </c>
      <c r="D52" t="s">
        <v>427</v>
      </c>
      <c r="E52" t="s">
        <v>428</v>
      </c>
      <c r="F52" t="s">
        <v>429</v>
      </c>
      <c r="G52" s="1">
        <v>40346</v>
      </c>
      <c r="I52" t="s">
        <v>222</v>
      </c>
      <c r="J52" t="s">
        <v>188</v>
      </c>
      <c r="K52" t="s">
        <v>189</v>
      </c>
      <c r="Y52" t="str">
        <f>"2016-08-29T00:00:00"</f>
        <v>2016-08-29T00:00:00</v>
      </c>
      <c r="Z52" t="str">
        <f>"№39"</f>
        <v>№39</v>
      </c>
      <c r="AA52" t="s">
        <v>190</v>
      </c>
      <c r="AC52" t="s">
        <v>237</v>
      </c>
      <c r="AD52" t="s">
        <v>242</v>
      </c>
      <c r="AE52" t="s">
        <v>243</v>
      </c>
      <c r="AF52" t="s">
        <v>194</v>
      </c>
      <c r="AH52" t="s">
        <v>195</v>
      </c>
      <c r="AI52">
        <v>1</v>
      </c>
      <c r="AJ52" t="s">
        <v>196</v>
      </c>
      <c r="AK52" t="s">
        <v>194</v>
      </c>
      <c r="AL52" t="s">
        <v>197</v>
      </c>
      <c r="AM52" t="s">
        <v>198</v>
      </c>
      <c r="AR52" t="s">
        <v>194</v>
      </c>
      <c r="AS52" t="s">
        <v>199</v>
      </c>
      <c r="AU52" t="s">
        <v>197</v>
      </c>
      <c r="AZ52" t="s">
        <v>194</v>
      </c>
      <c r="BA52" t="s">
        <v>200</v>
      </c>
      <c r="BB52" t="s">
        <v>201</v>
      </c>
      <c r="BD52" t="s">
        <v>200</v>
      </c>
      <c r="BE52" t="s">
        <v>229</v>
      </c>
      <c r="BF52" t="s">
        <v>197</v>
      </c>
      <c r="BG52" t="s">
        <v>230</v>
      </c>
      <c r="BH52" t="s">
        <v>307</v>
      </c>
      <c r="BJ52" t="s">
        <v>205</v>
      </c>
      <c r="BK52" t="s">
        <v>206</v>
      </c>
      <c r="BL52" t="s">
        <v>194</v>
      </c>
      <c r="BO52" t="s">
        <v>216</v>
      </c>
      <c r="BP52" t="s">
        <v>216</v>
      </c>
      <c r="BR52" t="s">
        <v>232</v>
      </c>
      <c r="BT52" t="s">
        <v>197</v>
      </c>
      <c r="BV52" t="s">
        <v>233</v>
      </c>
      <c r="CA52" t="s">
        <v>194</v>
      </c>
      <c r="CB52" t="s">
        <v>214</v>
      </c>
      <c r="CF52" t="s">
        <v>215</v>
      </c>
      <c r="CH52" t="s">
        <v>214</v>
      </c>
      <c r="CI52" t="s">
        <v>214</v>
      </c>
      <c r="CJ52" t="s">
        <v>214</v>
      </c>
      <c r="CP52" t="s">
        <v>214</v>
      </c>
      <c r="CS52" t="s">
        <v>216</v>
      </c>
      <c r="CV52" t="s">
        <v>214</v>
      </c>
      <c r="CW52" t="s">
        <v>214</v>
      </c>
      <c r="CX52" t="s">
        <v>217</v>
      </c>
      <c r="CY52" t="s">
        <v>214</v>
      </c>
      <c r="DA52" t="s">
        <v>218</v>
      </c>
    </row>
    <row r="53" spans="1:105" x14ac:dyDescent="0.3">
      <c r="A53">
        <v>1225444</v>
      </c>
      <c r="B53">
        <v>610261</v>
      </c>
      <c r="C53" t="str">
        <f>"101219602911"</f>
        <v>101219602911</v>
      </c>
      <c r="D53" t="s">
        <v>430</v>
      </c>
      <c r="E53" t="s">
        <v>431</v>
      </c>
      <c r="F53" t="s">
        <v>379</v>
      </c>
      <c r="G53" s="1">
        <v>40531</v>
      </c>
      <c r="I53" t="s">
        <v>222</v>
      </c>
      <c r="J53" t="s">
        <v>188</v>
      </c>
      <c r="K53" t="s">
        <v>260</v>
      </c>
      <c r="Y53" t="str">
        <f>"2017-08-07T00:00:00"</f>
        <v>2017-08-07T00:00:00</v>
      </c>
      <c r="Z53" t="str">
        <f>"№25"</f>
        <v>№25</v>
      </c>
      <c r="AA53" t="s">
        <v>224</v>
      </c>
      <c r="AC53" t="s">
        <v>191</v>
      </c>
      <c r="AD53" t="s">
        <v>261</v>
      </c>
      <c r="AE53" t="s">
        <v>193</v>
      </c>
      <c r="AF53" t="s">
        <v>194</v>
      </c>
      <c r="AH53" t="s">
        <v>195</v>
      </c>
      <c r="AI53">
        <v>2</v>
      </c>
      <c r="AJ53" t="s">
        <v>196</v>
      </c>
      <c r="AK53" t="s">
        <v>194</v>
      </c>
      <c r="AL53" t="s">
        <v>197</v>
      </c>
      <c r="AM53" t="s">
        <v>228</v>
      </c>
      <c r="AR53" t="s">
        <v>194</v>
      </c>
      <c r="AS53" t="s">
        <v>199</v>
      </c>
      <c r="AU53" t="s">
        <v>197</v>
      </c>
      <c r="AZ53" t="s">
        <v>194</v>
      </c>
      <c r="BA53" t="s">
        <v>200</v>
      </c>
      <c r="BB53" t="s">
        <v>201</v>
      </c>
      <c r="BD53" t="s">
        <v>200</v>
      </c>
      <c r="BE53" t="s">
        <v>244</v>
      </c>
      <c r="BF53" t="s">
        <v>197</v>
      </c>
      <c r="BG53" t="s">
        <v>269</v>
      </c>
      <c r="BH53" t="s">
        <v>432</v>
      </c>
      <c r="BJ53" t="s">
        <v>205</v>
      </c>
      <c r="BK53" t="s">
        <v>206</v>
      </c>
      <c r="BL53" t="s">
        <v>194</v>
      </c>
      <c r="BO53" t="s">
        <v>216</v>
      </c>
      <c r="BP53" t="s">
        <v>216</v>
      </c>
      <c r="BQ53" t="s">
        <v>271</v>
      </c>
      <c r="BR53" t="s">
        <v>232</v>
      </c>
      <c r="BT53" t="s">
        <v>197</v>
      </c>
      <c r="BV53" t="s">
        <v>233</v>
      </c>
      <c r="CA53" t="s">
        <v>194</v>
      </c>
      <c r="CB53" t="s">
        <v>194</v>
      </c>
      <c r="CC53" t="s">
        <v>264</v>
      </c>
      <c r="CD53" t="s">
        <v>265</v>
      </c>
      <c r="CE53" t="s">
        <v>266</v>
      </c>
      <c r="CF53" t="s">
        <v>215</v>
      </c>
      <c r="CH53" t="s">
        <v>214</v>
      </c>
      <c r="CI53" t="s">
        <v>214</v>
      </c>
      <c r="CJ53" t="s">
        <v>214</v>
      </c>
      <c r="CP53" t="s">
        <v>214</v>
      </c>
      <c r="CS53" t="s">
        <v>216</v>
      </c>
      <c r="CV53" t="s">
        <v>214</v>
      </c>
      <c r="CW53" t="s">
        <v>214</v>
      </c>
      <c r="CX53" t="s">
        <v>217</v>
      </c>
      <c r="CY53" t="s">
        <v>214</v>
      </c>
      <c r="DA53" t="s">
        <v>218</v>
      </c>
    </row>
    <row r="54" spans="1:105" x14ac:dyDescent="0.3">
      <c r="A54">
        <v>1225456</v>
      </c>
      <c r="B54">
        <v>610337</v>
      </c>
      <c r="C54" t="str">
        <f>"110108501902"</f>
        <v>110108501902</v>
      </c>
      <c r="D54" t="s">
        <v>433</v>
      </c>
      <c r="E54" t="s">
        <v>434</v>
      </c>
      <c r="F54" t="s">
        <v>435</v>
      </c>
      <c r="G54" s="1">
        <v>40551</v>
      </c>
      <c r="I54" t="s">
        <v>187</v>
      </c>
      <c r="J54" t="s">
        <v>188</v>
      </c>
      <c r="K54" t="s">
        <v>345</v>
      </c>
      <c r="Y54" t="str">
        <f>"2018-08-27T00:00:00"</f>
        <v>2018-08-27T00:00:00</v>
      </c>
      <c r="Z54" t="str">
        <f>"№21"</f>
        <v>№21</v>
      </c>
      <c r="AA54" t="s">
        <v>224</v>
      </c>
      <c r="AC54" t="s">
        <v>191</v>
      </c>
      <c r="AD54" t="s">
        <v>285</v>
      </c>
      <c r="AE54" t="s">
        <v>243</v>
      </c>
      <c r="AF54" t="s">
        <v>194</v>
      </c>
      <c r="AH54" t="s">
        <v>195</v>
      </c>
      <c r="AI54">
        <v>2</v>
      </c>
      <c r="AJ54" t="s">
        <v>196</v>
      </c>
      <c r="AK54" t="s">
        <v>194</v>
      </c>
      <c r="AL54" t="s">
        <v>197</v>
      </c>
      <c r="AM54" t="s">
        <v>228</v>
      </c>
      <c r="AR54" t="s">
        <v>194</v>
      </c>
      <c r="AS54" t="s">
        <v>199</v>
      </c>
      <c r="AU54" t="s">
        <v>197</v>
      </c>
      <c r="AZ54" t="s">
        <v>194</v>
      </c>
      <c r="BA54" t="s">
        <v>200</v>
      </c>
      <c r="BB54" t="s">
        <v>201</v>
      </c>
      <c r="BD54" t="s">
        <v>200</v>
      </c>
      <c r="BE54" t="s">
        <v>229</v>
      </c>
      <c r="BF54" t="s">
        <v>197</v>
      </c>
      <c r="BG54" t="s">
        <v>230</v>
      </c>
      <c r="BH54" t="s">
        <v>307</v>
      </c>
      <c r="BJ54" t="s">
        <v>205</v>
      </c>
      <c r="BK54" t="s">
        <v>206</v>
      </c>
      <c r="BL54" t="s">
        <v>194</v>
      </c>
      <c r="BO54" t="s">
        <v>216</v>
      </c>
      <c r="BP54" t="s">
        <v>216</v>
      </c>
      <c r="BQ54" t="s">
        <v>280</v>
      </c>
      <c r="BR54" t="s">
        <v>232</v>
      </c>
      <c r="BT54" t="s">
        <v>197</v>
      </c>
      <c r="BV54" t="s">
        <v>233</v>
      </c>
      <c r="CA54" t="s">
        <v>194</v>
      </c>
      <c r="CB54" t="s">
        <v>194</v>
      </c>
      <c r="CC54" t="s">
        <v>264</v>
      </c>
      <c r="CD54" t="s">
        <v>265</v>
      </c>
      <c r="CE54" t="s">
        <v>266</v>
      </c>
      <c r="CF54" t="s">
        <v>215</v>
      </c>
      <c r="CH54" t="s">
        <v>214</v>
      </c>
      <c r="CI54" t="s">
        <v>214</v>
      </c>
      <c r="CJ54" t="s">
        <v>214</v>
      </c>
      <c r="CP54" t="s">
        <v>214</v>
      </c>
      <c r="CS54" t="s">
        <v>216</v>
      </c>
      <c r="CV54" t="s">
        <v>214</v>
      </c>
      <c r="CW54" t="s">
        <v>214</v>
      </c>
      <c r="CX54" t="s">
        <v>217</v>
      </c>
      <c r="CY54" t="s">
        <v>214</v>
      </c>
      <c r="DA54" t="s">
        <v>218</v>
      </c>
    </row>
    <row r="55" spans="1:105" x14ac:dyDescent="0.3">
      <c r="A55">
        <v>1225472</v>
      </c>
      <c r="B55">
        <v>610404</v>
      </c>
      <c r="C55" t="str">
        <f>"110715501823"</f>
        <v>110715501823</v>
      </c>
      <c r="D55" t="s">
        <v>436</v>
      </c>
      <c r="E55" t="s">
        <v>322</v>
      </c>
      <c r="F55" t="s">
        <v>316</v>
      </c>
      <c r="G55" s="1">
        <v>40739</v>
      </c>
      <c r="I55" t="s">
        <v>187</v>
      </c>
      <c r="J55" t="s">
        <v>188</v>
      </c>
      <c r="K55" t="s">
        <v>223</v>
      </c>
      <c r="Y55" t="str">
        <f>"2017-08-15T00:00:00"</f>
        <v>2017-08-15T00:00:00</v>
      </c>
      <c r="Z55" t="str">
        <f>"№26"</f>
        <v>№26</v>
      </c>
      <c r="AA55" t="s">
        <v>224</v>
      </c>
      <c r="AC55" t="s">
        <v>225</v>
      </c>
      <c r="AD55" t="s">
        <v>261</v>
      </c>
      <c r="AE55" t="s">
        <v>193</v>
      </c>
      <c r="AF55" t="s">
        <v>194</v>
      </c>
      <c r="AH55" t="s">
        <v>195</v>
      </c>
      <c r="AI55">
        <v>2</v>
      </c>
      <c r="AJ55" t="s">
        <v>196</v>
      </c>
      <c r="AK55" t="s">
        <v>194</v>
      </c>
      <c r="AL55" t="s">
        <v>197</v>
      </c>
      <c r="AM55" t="s">
        <v>228</v>
      </c>
      <c r="AR55" t="s">
        <v>194</v>
      </c>
      <c r="AS55" t="s">
        <v>199</v>
      </c>
      <c r="AU55" t="s">
        <v>197</v>
      </c>
      <c r="AZ55" t="s">
        <v>194</v>
      </c>
      <c r="BA55" t="s">
        <v>200</v>
      </c>
      <c r="BB55" t="s">
        <v>201</v>
      </c>
      <c r="BD55" t="s">
        <v>200</v>
      </c>
      <c r="BE55" t="s">
        <v>202</v>
      </c>
      <c r="BF55" t="s">
        <v>197</v>
      </c>
      <c r="BG55" t="s">
        <v>269</v>
      </c>
      <c r="BH55" t="s">
        <v>422</v>
      </c>
      <c r="BJ55" t="s">
        <v>205</v>
      </c>
      <c r="BK55" t="s">
        <v>206</v>
      </c>
      <c r="BL55" t="s">
        <v>194</v>
      </c>
      <c r="BO55" t="s">
        <v>200</v>
      </c>
      <c r="BP55" t="s">
        <v>200</v>
      </c>
      <c r="BR55" t="s">
        <v>246</v>
      </c>
      <c r="BS55" t="s">
        <v>208</v>
      </c>
      <c r="BT55" t="s">
        <v>197</v>
      </c>
      <c r="BV55" t="s">
        <v>233</v>
      </c>
      <c r="CA55" t="s">
        <v>194</v>
      </c>
      <c r="CB55" t="s">
        <v>194</v>
      </c>
      <c r="CC55" t="s">
        <v>264</v>
      </c>
      <c r="CD55" t="s">
        <v>265</v>
      </c>
      <c r="CE55" t="s">
        <v>266</v>
      </c>
      <c r="CF55" t="s">
        <v>215</v>
      </c>
      <c r="CH55" t="s">
        <v>214</v>
      </c>
      <c r="CI55" t="s">
        <v>214</v>
      </c>
      <c r="CJ55" t="s">
        <v>214</v>
      </c>
      <c r="CP55" t="s">
        <v>214</v>
      </c>
      <c r="CS55" t="s">
        <v>216</v>
      </c>
      <c r="CV55" t="s">
        <v>214</v>
      </c>
      <c r="CW55" t="s">
        <v>214</v>
      </c>
      <c r="CX55" t="s">
        <v>217</v>
      </c>
      <c r="CY55" t="s">
        <v>214</v>
      </c>
      <c r="DA55" t="s">
        <v>218</v>
      </c>
    </row>
    <row r="56" spans="1:105" x14ac:dyDescent="0.3">
      <c r="A56">
        <v>1225494</v>
      </c>
      <c r="B56">
        <v>610439</v>
      </c>
      <c r="C56" t="str">
        <f>"110420603307"</f>
        <v>110420603307</v>
      </c>
      <c r="D56" t="s">
        <v>437</v>
      </c>
      <c r="E56" t="s">
        <v>438</v>
      </c>
      <c r="F56" t="s">
        <v>439</v>
      </c>
      <c r="G56" s="1">
        <v>40653</v>
      </c>
      <c r="I56" t="s">
        <v>222</v>
      </c>
      <c r="J56" t="s">
        <v>188</v>
      </c>
      <c r="K56" t="s">
        <v>223</v>
      </c>
      <c r="Y56" t="str">
        <f>"2017-08-15T00:00:00"</f>
        <v>2017-08-15T00:00:00</v>
      </c>
      <c r="Z56" t="str">
        <f>"№06"</f>
        <v>№06</v>
      </c>
      <c r="AA56" t="s">
        <v>224</v>
      </c>
      <c r="AC56" t="s">
        <v>225</v>
      </c>
      <c r="AD56" t="s">
        <v>261</v>
      </c>
      <c r="AE56" t="s">
        <v>193</v>
      </c>
      <c r="AF56" t="s">
        <v>194</v>
      </c>
      <c r="AH56" t="s">
        <v>195</v>
      </c>
      <c r="AI56">
        <v>2</v>
      </c>
      <c r="AJ56" t="s">
        <v>196</v>
      </c>
      <c r="AK56" t="s">
        <v>194</v>
      </c>
      <c r="AL56" t="s">
        <v>197</v>
      </c>
      <c r="AM56" t="s">
        <v>228</v>
      </c>
      <c r="AR56" t="s">
        <v>194</v>
      </c>
      <c r="AS56" t="s">
        <v>199</v>
      </c>
      <c r="AU56" t="s">
        <v>197</v>
      </c>
      <c r="AZ56" t="s">
        <v>194</v>
      </c>
      <c r="BA56" t="s">
        <v>200</v>
      </c>
      <c r="BB56" t="s">
        <v>201</v>
      </c>
      <c r="BD56" t="s">
        <v>200</v>
      </c>
      <c r="BE56" t="s">
        <v>202</v>
      </c>
      <c r="BF56" t="s">
        <v>197</v>
      </c>
      <c r="BG56" t="s">
        <v>262</v>
      </c>
      <c r="BH56" t="s">
        <v>440</v>
      </c>
      <c r="BJ56" t="s">
        <v>205</v>
      </c>
      <c r="BK56" t="s">
        <v>206</v>
      </c>
      <c r="BL56" t="s">
        <v>194</v>
      </c>
      <c r="BO56" t="s">
        <v>200</v>
      </c>
      <c r="BP56" t="s">
        <v>200</v>
      </c>
      <c r="BR56" t="s">
        <v>232</v>
      </c>
      <c r="BT56" t="s">
        <v>197</v>
      </c>
      <c r="BV56" t="s">
        <v>233</v>
      </c>
      <c r="CA56" t="s">
        <v>194</v>
      </c>
      <c r="CB56" t="s">
        <v>194</v>
      </c>
      <c r="CC56" t="s">
        <v>264</v>
      </c>
      <c r="CD56" t="s">
        <v>265</v>
      </c>
      <c r="CE56" t="s">
        <v>266</v>
      </c>
      <c r="CF56" t="s">
        <v>215</v>
      </c>
      <c r="CH56" t="s">
        <v>214</v>
      </c>
      <c r="CI56" t="s">
        <v>214</v>
      </c>
      <c r="CJ56" t="s">
        <v>214</v>
      </c>
      <c r="CP56" t="s">
        <v>214</v>
      </c>
      <c r="CS56" t="s">
        <v>216</v>
      </c>
      <c r="CV56" t="s">
        <v>214</v>
      </c>
      <c r="CW56" t="s">
        <v>214</v>
      </c>
      <c r="CX56" t="s">
        <v>217</v>
      </c>
      <c r="CY56" t="s">
        <v>214</v>
      </c>
      <c r="DA56" t="s">
        <v>218</v>
      </c>
    </row>
    <row r="57" spans="1:105" x14ac:dyDescent="0.3">
      <c r="A57">
        <v>1225508</v>
      </c>
      <c r="B57">
        <v>610469</v>
      </c>
      <c r="C57" t="str">
        <f>"110130600693"</f>
        <v>110130600693</v>
      </c>
      <c r="D57" t="s">
        <v>441</v>
      </c>
      <c r="E57" t="s">
        <v>442</v>
      </c>
      <c r="F57" t="s">
        <v>365</v>
      </c>
      <c r="G57" s="1">
        <v>40573</v>
      </c>
      <c r="I57" t="s">
        <v>222</v>
      </c>
      <c r="J57" t="s">
        <v>188</v>
      </c>
      <c r="K57" t="s">
        <v>223</v>
      </c>
      <c r="Y57" t="str">
        <f>"2016-09-01T00:00:00"</f>
        <v>2016-09-01T00:00:00</v>
      </c>
      <c r="Z57" t="str">
        <f>"№45"</f>
        <v>№45</v>
      </c>
      <c r="AA57" t="s">
        <v>314</v>
      </c>
      <c r="AC57" t="s">
        <v>225</v>
      </c>
      <c r="AD57" t="s">
        <v>261</v>
      </c>
      <c r="AE57" t="s">
        <v>227</v>
      </c>
      <c r="AF57" t="s">
        <v>194</v>
      </c>
      <c r="AH57" t="s">
        <v>195</v>
      </c>
      <c r="AI57">
        <v>2</v>
      </c>
      <c r="AJ57" t="s">
        <v>196</v>
      </c>
      <c r="AK57" t="s">
        <v>194</v>
      </c>
      <c r="AL57" t="s">
        <v>197</v>
      </c>
      <c r="AM57" t="s">
        <v>198</v>
      </c>
      <c r="AR57" t="s">
        <v>194</v>
      </c>
      <c r="AS57" t="s">
        <v>199</v>
      </c>
      <c r="AU57" t="s">
        <v>197</v>
      </c>
      <c r="AZ57" t="s">
        <v>194</v>
      </c>
      <c r="BA57" t="s">
        <v>200</v>
      </c>
      <c r="BB57" t="s">
        <v>201</v>
      </c>
      <c r="BD57" t="s">
        <v>200</v>
      </c>
      <c r="BE57" t="s">
        <v>244</v>
      </c>
      <c r="BF57" t="s">
        <v>197</v>
      </c>
      <c r="BG57" t="s">
        <v>238</v>
      </c>
      <c r="BH57">
        <v>5</v>
      </c>
      <c r="BJ57" t="s">
        <v>205</v>
      </c>
      <c r="BK57" t="s">
        <v>206</v>
      </c>
      <c r="BL57" t="s">
        <v>194</v>
      </c>
      <c r="BO57" t="s">
        <v>216</v>
      </c>
      <c r="BP57" t="s">
        <v>216</v>
      </c>
      <c r="BQ57" t="s">
        <v>271</v>
      </c>
      <c r="BR57" t="s">
        <v>232</v>
      </c>
      <c r="BT57" t="s">
        <v>197</v>
      </c>
      <c r="BV57" t="s">
        <v>233</v>
      </c>
      <c r="CA57" t="s">
        <v>194</v>
      </c>
      <c r="CB57" t="s">
        <v>194</v>
      </c>
      <c r="CC57" t="s">
        <v>264</v>
      </c>
      <c r="CD57" t="s">
        <v>265</v>
      </c>
      <c r="CE57" t="s">
        <v>266</v>
      </c>
      <c r="CF57" t="s">
        <v>215</v>
      </c>
      <c r="CH57" t="s">
        <v>214</v>
      </c>
      <c r="CI57" t="s">
        <v>214</v>
      </c>
      <c r="CJ57" t="s">
        <v>214</v>
      </c>
      <c r="CP57" t="s">
        <v>214</v>
      </c>
      <c r="CS57" t="s">
        <v>216</v>
      </c>
      <c r="CV57" t="s">
        <v>214</v>
      </c>
      <c r="CW57" t="s">
        <v>214</v>
      </c>
      <c r="CX57" t="s">
        <v>217</v>
      </c>
      <c r="CY57" t="s">
        <v>214</v>
      </c>
      <c r="DA57" t="s">
        <v>218</v>
      </c>
    </row>
    <row r="58" spans="1:105" x14ac:dyDescent="0.3">
      <c r="A58">
        <v>1225526</v>
      </c>
      <c r="B58">
        <v>610535</v>
      </c>
      <c r="C58" t="str">
        <f>"110223605085"</f>
        <v>110223605085</v>
      </c>
      <c r="D58" t="s">
        <v>443</v>
      </c>
      <c r="E58" t="s">
        <v>444</v>
      </c>
      <c r="F58" t="s">
        <v>336</v>
      </c>
      <c r="G58" s="1">
        <v>40597</v>
      </c>
      <c r="I58" t="s">
        <v>222</v>
      </c>
      <c r="J58" t="s">
        <v>188</v>
      </c>
      <c r="K58" t="s">
        <v>223</v>
      </c>
      <c r="Y58" t="str">
        <f>"2017-08-15T00:00:00"</f>
        <v>2017-08-15T00:00:00</v>
      </c>
      <c r="Z58" t="str">
        <f>"№06"</f>
        <v>№06</v>
      </c>
      <c r="AA58" t="s">
        <v>224</v>
      </c>
      <c r="AC58" t="s">
        <v>225</v>
      </c>
      <c r="AD58" t="s">
        <v>261</v>
      </c>
      <c r="AE58" t="s">
        <v>193</v>
      </c>
      <c r="AF58" t="s">
        <v>194</v>
      </c>
      <c r="AH58" t="s">
        <v>195</v>
      </c>
      <c r="AI58">
        <v>2</v>
      </c>
      <c r="AJ58" t="s">
        <v>196</v>
      </c>
      <c r="AK58" t="s">
        <v>194</v>
      </c>
      <c r="AL58" t="s">
        <v>197</v>
      </c>
      <c r="AM58" t="s">
        <v>228</v>
      </c>
      <c r="AR58" t="s">
        <v>194</v>
      </c>
      <c r="AS58" t="s">
        <v>199</v>
      </c>
      <c r="AU58" t="s">
        <v>197</v>
      </c>
      <c r="AZ58" t="s">
        <v>194</v>
      </c>
      <c r="BA58" t="s">
        <v>200</v>
      </c>
      <c r="BB58" t="s">
        <v>201</v>
      </c>
      <c r="BD58" t="s">
        <v>200</v>
      </c>
      <c r="BE58" t="s">
        <v>229</v>
      </c>
      <c r="BF58" t="s">
        <v>197</v>
      </c>
      <c r="BG58" t="s">
        <v>269</v>
      </c>
      <c r="BH58" t="s">
        <v>270</v>
      </c>
      <c r="BJ58" t="s">
        <v>205</v>
      </c>
      <c r="BK58" t="s">
        <v>206</v>
      </c>
      <c r="BL58" t="s">
        <v>194</v>
      </c>
      <c r="BO58" t="s">
        <v>216</v>
      </c>
      <c r="BP58" t="s">
        <v>216</v>
      </c>
      <c r="BQ58" t="s">
        <v>286</v>
      </c>
      <c r="BR58" t="s">
        <v>232</v>
      </c>
      <c r="BT58" t="s">
        <v>197</v>
      </c>
      <c r="BV58" t="s">
        <v>233</v>
      </c>
      <c r="CA58" t="s">
        <v>194</v>
      </c>
      <c r="CB58" t="s">
        <v>194</v>
      </c>
      <c r="CC58" t="s">
        <v>264</v>
      </c>
      <c r="CD58" t="s">
        <v>265</v>
      </c>
      <c r="CE58" t="s">
        <v>266</v>
      </c>
      <c r="CF58" t="s">
        <v>215</v>
      </c>
      <c r="CH58" t="s">
        <v>214</v>
      </c>
      <c r="CI58" t="s">
        <v>214</v>
      </c>
      <c r="CJ58" t="s">
        <v>214</v>
      </c>
      <c r="CP58" t="s">
        <v>214</v>
      </c>
      <c r="CS58" t="s">
        <v>216</v>
      </c>
      <c r="CV58" t="s">
        <v>214</v>
      </c>
      <c r="CW58" t="s">
        <v>214</v>
      </c>
      <c r="CX58" t="s">
        <v>217</v>
      </c>
      <c r="CY58" t="s">
        <v>214</v>
      </c>
      <c r="DA58" t="s">
        <v>218</v>
      </c>
    </row>
    <row r="59" spans="1:105" x14ac:dyDescent="0.3">
      <c r="A59">
        <v>1225544</v>
      </c>
      <c r="B59">
        <v>610592</v>
      </c>
      <c r="C59" t="str">
        <f>"110612501675"</f>
        <v>110612501675</v>
      </c>
      <c r="D59" t="s">
        <v>445</v>
      </c>
      <c r="E59" t="s">
        <v>446</v>
      </c>
      <c r="F59" t="s">
        <v>447</v>
      </c>
      <c r="G59" s="1">
        <v>40706</v>
      </c>
      <c r="I59" t="s">
        <v>187</v>
      </c>
      <c r="J59" t="s">
        <v>188</v>
      </c>
      <c r="K59" t="s">
        <v>223</v>
      </c>
      <c r="Y59" t="str">
        <f>"2017-08-21T00:00:00"</f>
        <v>2017-08-21T00:00:00</v>
      </c>
      <c r="Z59" t="str">
        <f>"№27"</f>
        <v>№27</v>
      </c>
      <c r="AA59" t="s">
        <v>224</v>
      </c>
      <c r="AC59" t="s">
        <v>225</v>
      </c>
      <c r="AD59" t="s">
        <v>261</v>
      </c>
      <c r="AE59" t="s">
        <v>243</v>
      </c>
      <c r="AF59" t="s">
        <v>194</v>
      </c>
      <c r="AH59" t="s">
        <v>195</v>
      </c>
      <c r="AI59">
        <v>2</v>
      </c>
      <c r="AJ59" t="s">
        <v>196</v>
      </c>
      <c r="AK59" t="s">
        <v>194</v>
      </c>
      <c r="AL59" t="s">
        <v>197</v>
      </c>
      <c r="AM59" t="s">
        <v>198</v>
      </c>
      <c r="AR59" t="s">
        <v>194</v>
      </c>
      <c r="AS59" t="s">
        <v>199</v>
      </c>
      <c r="AU59" t="s">
        <v>197</v>
      </c>
      <c r="AZ59" t="s">
        <v>194</v>
      </c>
      <c r="BA59" t="s">
        <v>200</v>
      </c>
      <c r="BB59" t="s">
        <v>201</v>
      </c>
      <c r="BD59" t="s">
        <v>200</v>
      </c>
      <c r="BE59" t="s">
        <v>202</v>
      </c>
      <c r="BF59" t="s">
        <v>197</v>
      </c>
      <c r="BG59" t="s">
        <v>269</v>
      </c>
      <c r="BH59" t="s">
        <v>279</v>
      </c>
      <c r="BJ59" t="s">
        <v>205</v>
      </c>
      <c r="BK59" t="s">
        <v>206</v>
      </c>
      <c r="BL59" t="s">
        <v>194</v>
      </c>
      <c r="BO59" t="s">
        <v>200</v>
      </c>
      <c r="BP59" t="s">
        <v>200</v>
      </c>
      <c r="BR59" t="s">
        <v>246</v>
      </c>
      <c r="BS59" t="s">
        <v>208</v>
      </c>
      <c r="BT59" t="s">
        <v>197</v>
      </c>
      <c r="BV59" t="s">
        <v>233</v>
      </c>
      <c r="CA59" t="s">
        <v>194</v>
      </c>
      <c r="CB59" t="s">
        <v>194</v>
      </c>
      <c r="CC59" t="s">
        <v>264</v>
      </c>
      <c r="CD59" t="s">
        <v>265</v>
      </c>
      <c r="CE59" t="s">
        <v>266</v>
      </c>
      <c r="CF59" t="s">
        <v>215</v>
      </c>
      <c r="CH59" t="s">
        <v>214</v>
      </c>
      <c r="CI59" t="s">
        <v>214</v>
      </c>
      <c r="CJ59" t="s">
        <v>214</v>
      </c>
      <c r="CP59" t="s">
        <v>214</v>
      </c>
      <c r="CS59" t="s">
        <v>216</v>
      </c>
      <c r="CV59" t="s">
        <v>214</v>
      </c>
      <c r="CW59" t="s">
        <v>214</v>
      </c>
      <c r="CX59" t="s">
        <v>217</v>
      </c>
      <c r="CY59" t="s">
        <v>214</v>
      </c>
      <c r="DA59" t="s">
        <v>218</v>
      </c>
    </row>
    <row r="60" spans="1:105" x14ac:dyDescent="0.3">
      <c r="A60">
        <v>1225577</v>
      </c>
      <c r="B60">
        <v>610766</v>
      </c>
      <c r="C60" t="str">
        <f>"100927652518"</f>
        <v>100927652518</v>
      </c>
      <c r="D60" t="s">
        <v>448</v>
      </c>
      <c r="E60" t="s">
        <v>449</v>
      </c>
      <c r="F60" t="s">
        <v>450</v>
      </c>
      <c r="G60" s="1">
        <v>40448</v>
      </c>
      <c r="I60" t="s">
        <v>222</v>
      </c>
      <c r="J60" t="s">
        <v>188</v>
      </c>
      <c r="K60" t="s">
        <v>189</v>
      </c>
      <c r="Y60" t="str">
        <f>"2015-09-01T00:00:00"</f>
        <v>2015-09-01T00:00:00</v>
      </c>
      <c r="Z60" t="str">
        <f>"№45"</f>
        <v>№45</v>
      </c>
      <c r="AA60" t="s">
        <v>314</v>
      </c>
      <c r="AC60" t="s">
        <v>225</v>
      </c>
      <c r="AD60" t="s">
        <v>261</v>
      </c>
      <c r="AE60" t="s">
        <v>227</v>
      </c>
      <c r="AF60" t="s">
        <v>194</v>
      </c>
      <c r="AH60" t="s">
        <v>195</v>
      </c>
      <c r="AI60">
        <v>2</v>
      </c>
      <c r="AJ60" t="s">
        <v>196</v>
      </c>
      <c r="AK60" t="s">
        <v>194</v>
      </c>
      <c r="AL60" t="s">
        <v>197</v>
      </c>
      <c r="AM60" t="s">
        <v>228</v>
      </c>
      <c r="AR60" t="s">
        <v>194</v>
      </c>
      <c r="AS60" t="s">
        <v>199</v>
      </c>
      <c r="AU60" t="s">
        <v>197</v>
      </c>
      <c r="AZ60" t="s">
        <v>194</v>
      </c>
      <c r="BA60" t="s">
        <v>200</v>
      </c>
      <c r="BB60" t="s">
        <v>201</v>
      </c>
      <c r="BD60" t="s">
        <v>200</v>
      </c>
      <c r="BE60" t="s">
        <v>202</v>
      </c>
      <c r="BF60" t="s">
        <v>197</v>
      </c>
      <c r="BG60" t="s">
        <v>238</v>
      </c>
      <c r="BH60">
        <v>3</v>
      </c>
      <c r="BJ60" t="s">
        <v>205</v>
      </c>
      <c r="BK60" t="s">
        <v>206</v>
      </c>
      <c r="BL60" t="s">
        <v>214</v>
      </c>
      <c r="BO60" t="s">
        <v>216</v>
      </c>
      <c r="BP60" t="s">
        <v>216</v>
      </c>
      <c r="BQ60" t="s">
        <v>286</v>
      </c>
      <c r="BR60" t="s">
        <v>232</v>
      </c>
      <c r="BT60" t="s">
        <v>197</v>
      </c>
      <c r="BV60" t="s">
        <v>233</v>
      </c>
      <c r="CA60" t="s">
        <v>194</v>
      </c>
      <c r="CB60" t="s">
        <v>194</v>
      </c>
      <c r="CC60" t="s">
        <v>264</v>
      </c>
      <c r="CD60" t="s">
        <v>265</v>
      </c>
      <c r="CE60" t="s">
        <v>266</v>
      </c>
      <c r="CF60" t="s">
        <v>215</v>
      </c>
      <c r="CH60" t="s">
        <v>214</v>
      </c>
      <c r="CI60" t="s">
        <v>214</v>
      </c>
      <c r="CJ60" t="s">
        <v>214</v>
      </c>
      <c r="CP60" t="s">
        <v>214</v>
      </c>
      <c r="CS60" t="s">
        <v>216</v>
      </c>
      <c r="CV60" t="s">
        <v>214</v>
      </c>
      <c r="CW60" t="s">
        <v>214</v>
      </c>
      <c r="CX60" t="s">
        <v>217</v>
      </c>
      <c r="CY60" t="s">
        <v>214</v>
      </c>
      <c r="DA60" t="s">
        <v>218</v>
      </c>
    </row>
    <row r="61" spans="1:105" x14ac:dyDescent="0.3">
      <c r="A61">
        <v>1225592</v>
      </c>
      <c r="B61">
        <v>610810</v>
      </c>
      <c r="C61" t="str">
        <f>"100312554495"</f>
        <v>100312554495</v>
      </c>
      <c r="D61" t="s">
        <v>451</v>
      </c>
      <c r="E61" t="s">
        <v>452</v>
      </c>
      <c r="F61" t="s">
        <v>453</v>
      </c>
      <c r="G61" s="1">
        <v>40249</v>
      </c>
      <c r="I61" t="s">
        <v>187</v>
      </c>
      <c r="J61" t="s">
        <v>188</v>
      </c>
      <c r="K61" t="s">
        <v>189</v>
      </c>
      <c r="Y61" t="str">
        <f>"2016-08-29T00:00:00"</f>
        <v>2016-08-29T00:00:00</v>
      </c>
      <c r="Z61" t="str">
        <f>"№39"</f>
        <v>№39</v>
      </c>
      <c r="AA61" t="s">
        <v>190</v>
      </c>
      <c r="AC61" t="s">
        <v>237</v>
      </c>
      <c r="AD61" t="s">
        <v>242</v>
      </c>
      <c r="AE61" t="s">
        <v>243</v>
      </c>
      <c r="AF61" t="s">
        <v>194</v>
      </c>
      <c r="AH61" t="s">
        <v>195</v>
      </c>
      <c r="AI61">
        <v>1</v>
      </c>
      <c r="AJ61" t="s">
        <v>196</v>
      </c>
      <c r="AK61" t="s">
        <v>194</v>
      </c>
      <c r="AL61" t="s">
        <v>197</v>
      </c>
      <c r="AM61" t="s">
        <v>198</v>
      </c>
      <c r="AR61" t="s">
        <v>194</v>
      </c>
      <c r="AS61" t="s">
        <v>199</v>
      </c>
      <c r="AU61" t="s">
        <v>197</v>
      </c>
      <c r="AZ61" t="s">
        <v>194</v>
      </c>
      <c r="BA61" t="s">
        <v>200</v>
      </c>
      <c r="BB61" t="s">
        <v>201</v>
      </c>
      <c r="BD61" t="s">
        <v>200</v>
      </c>
      <c r="BE61" t="s">
        <v>202</v>
      </c>
      <c r="BF61" t="s">
        <v>197</v>
      </c>
      <c r="BG61" t="s">
        <v>230</v>
      </c>
      <c r="BH61" t="s">
        <v>454</v>
      </c>
      <c r="BJ61" t="s">
        <v>205</v>
      </c>
      <c r="BK61" t="s">
        <v>206</v>
      </c>
      <c r="BL61" t="s">
        <v>194</v>
      </c>
      <c r="BO61" t="s">
        <v>200</v>
      </c>
      <c r="BP61" t="s">
        <v>200</v>
      </c>
      <c r="BR61" t="s">
        <v>246</v>
      </c>
      <c r="BS61" t="s">
        <v>208</v>
      </c>
      <c r="BT61" t="s">
        <v>197</v>
      </c>
      <c r="BV61" t="s">
        <v>233</v>
      </c>
      <c r="CA61" t="s">
        <v>194</v>
      </c>
      <c r="CB61" t="s">
        <v>214</v>
      </c>
      <c r="CF61" t="s">
        <v>215</v>
      </c>
      <c r="CH61" t="s">
        <v>214</v>
      </c>
      <c r="CI61" t="s">
        <v>214</v>
      </c>
      <c r="CJ61" t="s">
        <v>214</v>
      </c>
      <c r="CP61" t="s">
        <v>214</v>
      </c>
      <c r="CS61" t="s">
        <v>216</v>
      </c>
      <c r="CV61" t="s">
        <v>214</v>
      </c>
      <c r="CW61" t="s">
        <v>214</v>
      </c>
      <c r="CX61" t="s">
        <v>217</v>
      </c>
      <c r="CY61" t="s">
        <v>214</v>
      </c>
      <c r="DA61" t="s">
        <v>218</v>
      </c>
    </row>
    <row r="62" spans="1:105" x14ac:dyDescent="0.3">
      <c r="A62">
        <v>1225629</v>
      </c>
      <c r="B62">
        <v>611073</v>
      </c>
      <c r="C62" t="str">
        <f>"100216550440"</f>
        <v>100216550440</v>
      </c>
      <c r="D62" t="s">
        <v>455</v>
      </c>
      <c r="E62" t="s">
        <v>343</v>
      </c>
      <c r="F62" t="s">
        <v>344</v>
      </c>
      <c r="G62" s="1">
        <v>40225</v>
      </c>
      <c r="I62" t="s">
        <v>187</v>
      </c>
      <c r="J62" t="s">
        <v>188</v>
      </c>
      <c r="K62" t="s">
        <v>223</v>
      </c>
      <c r="Y62" t="str">
        <f>"2016-08-29T00:00:00"</f>
        <v>2016-08-29T00:00:00</v>
      </c>
      <c r="Z62" t="str">
        <f>"№39"</f>
        <v>№39</v>
      </c>
      <c r="AA62" t="s">
        <v>224</v>
      </c>
      <c r="AC62" t="s">
        <v>237</v>
      </c>
      <c r="AD62" t="s">
        <v>242</v>
      </c>
      <c r="AE62" t="s">
        <v>227</v>
      </c>
      <c r="AF62" t="s">
        <v>194</v>
      </c>
      <c r="AH62" t="s">
        <v>195</v>
      </c>
      <c r="AI62">
        <v>2</v>
      </c>
      <c r="AJ62" t="s">
        <v>196</v>
      </c>
      <c r="AK62" t="s">
        <v>194</v>
      </c>
      <c r="AL62" t="s">
        <v>197</v>
      </c>
      <c r="AM62" t="s">
        <v>198</v>
      </c>
      <c r="AR62" t="s">
        <v>194</v>
      </c>
      <c r="AS62" t="s">
        <v>199</v>
      </c>
      <c r="AU62" t="s">
        <v>197</v>
      </c>
      <c r="AZ62" t="s">
        <v>194</v>
      </c>
      <c r="BA62" t="s">
        <v>200</v>
      </c>
      <c r="BB62" t="s">
        <v>201</v>
      </c>
      <c r="BD62" t="s">
        <v>200</v>
      </c>
      <c r="BE62" t="s">
        <v>229</v>
      </c>
      <c r="BF62" t="s">
        <v>197</v>
      </c>
      <c r="BG62" t="s">
        <v>230</v>
      </c>
      <c r="BH62" t="s">
        <v>456</v>
      </c>
      <c r="BJ62" t="s">
        <v>205</v>
      </c>
      <c r="BK62" t="s">
        <v>206</v>
      </c>
      <c r="BL62" t="s">
        <v>194</v>
      </c>
      <c r="BO62" t="s">
        <v>200</v>
      </c>
      <c r="BP62" t="s">
        <v>200</v>
      </c>
      <c r="BR62" t="s">
        <v>232</v>
      </c>
      <c r="BT62" t="s">
        <v>197</v>
      </c>
      <c r="BV62" t="s">
        <v>209</v>
      </c>
      <c r="BW62" t="s">
        <v>210</v>
      </c>
      <c r="BX62" t="s">
        <v>211</v>
      </c>
      <c r="BY62" t="s">
        <v>212</v>
      </c>
      <c r="BZ62" t="s">
        <v>457</v>
      </c>
      <c r="CA62" t="s">
        <v>194</v>
      </c>
      <c r="CB62" t="s">
        <v>214</v>
      </c>
      <c r="CF62" t="s">
        <v>215</v>
      </c>
      <c r="CH62" t="s">
        <v>214</v>
      </c>
      <c r="CI62" t="s">
        <v>214</v>
      </c>
      <c r="CJ62" t="s">
        <v>214</v>
      </c>
      <c r="CP62" t="s">
        <v>214</v>
      </c>
      <c r="CS62" t="s">
        <v>216</v>
      </c>
      <c r="CV62" t="s">
        <v>214</v>
      </c>
      <c r="CW62" t="s">
        <v>214</v>
      </c>
      <c r="CX62" t="s">
        <v>217</v>
      </c>
      <c r="CY62" t="s">
        <v>214</v>
      </c>
      <c r="DA62" t="s">
        <v>218</v>
      </c>
    </row>
    <row r="63" spans="1:105" x14ac:dyDescent="0.3">
      <c r="A63">
        <v>1225645</v>
      </c>
      <c r="B63">
        <v>611104</v>
      </c>
      <c r="C63" t="str">
        <f>"090721554127"</f>
        <v>090721554127</v>
      </c>
      <c r="D63" t="s">
        <v>458</v>
      </c>
      <c r="E63" t="s">
        <v>459</v>
      </c>
      <c r="F63" t="s">
        <v>460</v>
      </c>
      <c r="G63" s="1">
        <v>40015</v>
      </c>
      <c r="I63" t="s">
        <v>187</v>
      </c>
      <c r="J63" t="s">
        <v>188</v>
      </c>
      <c r="K63" t="s">
        <v>461</v>
      </c>
      <c r="Y63" t="str">
        <f>"2015-09-01T00:00:00"</f>
        <v>2015-09-01T00:00:00</v>
      </c>
      <c r="Z63" t="str">
        <f>"№46"</f>
        <v>№46</v>
      </c>
      <c r="AA63" t="s">
        <v>190</v>
      </c>
      <c r="AC63" t="s">
        <v>225</v>
      </c>
      <c r="AD63" t="s">
        <v>242</v>
      </c>
      <c r="AE63" t="s">
        <v>193</v>
      </c>
      <c r="AF63" t="s">
        <v>194</v>
      </c>
      <c r="AH63" t="s">
        <v>195</v>
      </c>
      <c r="AI63">
        <v>1</v>
      </c>
      <c r="AJ63" t="s">
        <v>196</v>
      </c>
      <c r="AK63" t="s">
        <v>194</v>
      </c>
      <c r="AL63" t="s">
        <v>197</v>
      </c>
      <c r="AM63" t="s">
        <v>198</v>
      </c>
      <c r="AR63" t="s">
        <v>194</v>
      </c>
      <c r="AS63" t="s">
        <v>199</v>
      </c>
      <c r="AU63" t="s">
        <v>197</v>
      </c>
      <c r="AZ63" t="s">
        <v>194</v>
      </c>
      <c r="BA63" t="s">
        <v>200</v>
      </c>
      <c r="BB63" t="s">
        <v>201</v>
      </c>
      <c r="BD63" t="s">
        <v>200</v>
      </c>
      <c r="BE63" t="s">
        <v>229</v>
      </c>
      <c r="BF63" t="s">
        <v>197</v>
      </c>
      <c r="BG63" t="s">
        <v>359</v>
      </c>
      <c r="BH63" t="s">
        <v>307</v>
      </c>
      <c r="BJ63" t="s">
        <v>205</v>
      </c>
      <c r="BK63" t="s">
        <v>206</v>
      </c>
      <c r="BL63" t="s">
        <v>194</v>
      </c>
      <c r="BO63" t="s">
        <v>216</v>
      </c>
      <c r="BP63" t="s">
        <v>216</v>
      </c>
      <c r="BR63" t="s">
        <v>232</v>
      </c>
      <c r="BT63" t="s">
        <v>197</v>
      </c>
      <c r="BV63" t="s">
        <v>233</v>
      </c>
      <c r="CA63" t="s">
        <v>194</v>
      </c>
      <c r="CB63" t="s">
        <v>214</v>
      </c>
      <c r="CF63" t="s">
        <v>215</v>
      </c>
      <c r="CH63" t="s">
        <v>214</v>
      </c>
      <c r="CI63" t="s">
        <v>214</v>
      </c>
      <c r="CJ63" t="s">
        <v>214</v>
      </c>
      <c r="CP63" t="s">
        <v>214</v>
      </c>
      <c r="CS63" t="s">
        <v>216</v>
      </c>
      <c r="CV63" t="s">
        <v>214</v>
      </c>
      <c r="CW63" t="s">
        <v>214</v>
      </c>
      <c r="CX63" t="s">
        <v>217</v>
      </c>
      <c r="CY63" t="s">
        <v>214</v>
      </c>
      <c r="DA63" t="s">
        <v>218</v>
      </c>
    </row>
    <row r="64" spans="1:105" x14ac:dyDescent="0.3">
      <c r="A64">
        <v>1225663</v>
      </c>
      <c r="B64">
        <v>611216</v>
      </c>
      <c r="C64" t="str">
        <f>"100408550127"</f>
        <v>100408550127</v>
      </c>
      <c r="D64" t="s">
        <v>462</v>
      </c>
      <c r="E64" t="s">
        <v>363</v>
      </c>
      <c r="F64" t="s">
        <v>289</v>
      </c>
      <c r="G64" s="1">
        <v>40276</v>
      </c>
      <c r="I64" t="s">
        <v>187</v>
      </c>
      <c r="J64" t="s">
        <v>188</v>
      </c>
      <c r="K64" t="s">
        <v>223</v>
      </c>
      <c r="Y64" t="str">
        <f>"2016-08-29T00:00:00"</f>
        <v>2016-08-29T00:00:00</v>
      </c>
      <c r="Z64" t="str">
        <f>"№39"</f>
        <v>№39</v>
      </c>
      <c r="AA64" t="s">
        <v>224</v>
      </c>
      <c r="AC64" t="s">
        <v>255</v>
      </c>
      <c r="AD64" t="s">
        <v>242</v>
      </c>
      <c r="AE64" t="s">
        <v>413</v>
      </c>
      <c r="AF64" t="s">
        <v>194</v>
      </c>
      <c r="AH64" t="s">
        <v>195</v>
      </c>
      <c r="AI64">
        <v>1</v>
      </c>
      <c r="AJ64" t="s">
        <v>196</v>
      </c>
      <c r="AK64" t="s">
        <v>194</v>
      </c>
      <c r="AL64" t="s">
        <v>197</v>
      </c>
      <c r="AM64" t="s">
        <v>198</v>
      </c>
      <c r="AR64" t="s">
        <v>194</v>
      </c>
      <c r="AS64" t="s">
        <v>199</v>
      </c>
      <c r="AU64" t="s">
        <v>197</v>
      </c>
      <c r="AZ64" t="s">
        <v>194</v>
      </c>
      <c r="BA64" t="s">
        <v>200</v>
      </c>
      <c r="BB64" t="s">
        <v>201</v>
      </c>
      <c r="BD64" t="s">
        <v>200</v>
      </c>
      <c r="BE64" t="s">
        <v>229</v>
      </c>
      <c r="BF64" t="s">
        <v>197</v>
      </c>
      <c r="BG64" t="s">
        <v>230</v>
      </c>
      <c r="BH64" t="s">
        <v>245</v>
      </c>
      <c r="BJ64" t="s">
        <v>205</v>
      </c>
      <c r="BK64" t="s">
        <v>206</v>
      </c>
      <c r="BL64" t="s">
        <v>194</v>
      </c>
      <c r="BO64" t="s">
        <v>216</v>
      </c>
      <c r="BP64" t="s">
        <v>216</v>
      </c>
      <c r="BR64" t="s">
        <v>232</v>
      </c>
      <c r="BT64" t="s">
        <v>197</v>
      </c>
      <c r="BV64" t="s">
        <v>415</v>
      </c>
      <c r="BW64" t="s">
        <v>416</v>
      </c>
      <c r="BX64" t="s">
        <v>211</v>
      </c>
      <c r="BY64" t="s">
        <v>212</v>
      </c>
      <c r="BZ64" t="s">
        <v>417</v>
      </c>
      <c r="CA64" t="s">
        <v>194</v>
      </c>
      <c r="CB64" t="s">
        <v>214</v>
      </c>
      <c r="CF64" t="s">
        <v>215</v>
      </c>
      <c r="CH64" t="s">
        <v>214</v>
      </c>
      <c r="CI64" t="s">
        <v>214</v>
      </c>
      <c r="CJ64" t="s">
        <v>214</v>
      </c>
      <c r="CP64" t="s">
        <v>214</v>
      </c>
      <c r="CS64" t="s">
        <v>216</v>
      </c>
      <c r="CV64" t="s">
        <v>214</v>
      </c>
      <c r="CW64" t="s">
        <v>214</v>
      </c>
      <c r="CX64" t="s">
        <v>217</v>
      </c>
      <c r="CY64" t="s">
        <v>214</v>
      </c>
      <c r="DA64" t="s">
        <v>218</v>
      </c>
    </row>
    <row r="65" spans="1:105" x14ac:dyDescent="0.3">
      <c r="A65">
        <v>1225687</v>
      </c>
      <c r="B65">
        <v>611246</v>
      </c>
      <c r="C65" t="str">
        <f>"090816551208"</f>
        <v>090816551208</v>
      </c>
      <c r="D65" t="s">
        <v>436</v>
      </c>
      <c r="E65" t="s">
        <v>385</v>
      </c>
      <c r="F65" t="s">
        <v>316</v>
      </c>
      <c r="G65" s="1">
        <v>40041</v>
      </c>
      <c r="I65" t="s">
        <v>187</v>
      </c>
      <c r="J65" t="s">
        <v>188</v>
      </c>
      <c r="K65" t="s">
        <v>223</v>
      </c>
      <c r="Y65" t="str">
        <f>"2015-09-01T00:00:00"</f>
        <v>2015-09-01T00:00:00</v>
      </c>
      <c r="Z65" t="str">
        <f>"№46"</f>
        <v>№46</v>
      </c>
      <c r="AA65" t="s">
        <v>190</v>
      </c>
      <c r="AC65" t="s">
        <v>225</v>
      </c>
      <c r="AD65" t="s">
        <v>242</v>
      </c>
      <c r="AE65" t="s">
        <v>193</v>
      </c>
      <c r="AF65" t="s">
        <v>194</v>
      </c>
      <c r="AH65" t="s">
        <v>195</v>
      </c>
      <c r="AI65">
        <v>1</v>
      </c>
      <c r="AJ65" t="s">
        <v>196</v>
      </c>
      <c r="AK65" t="s">
        <v>194</v>
      </c>
      <c r="AL65" t="s">
        <v>197</v>
      </c>
      <c r="AM65" t="s">
        <v>198</v>
      </c>
      <c r="AR65" t="s">
        <v>194</v>
      </c>
      <c r="AS65" t="s">
        <v>199</v>
      </c>
      <c r="AU65" t="s">
        <v>197</v>
      </c>
      <c r="AZ65" t="s">
        <v>194</v>
      </c>
      <c r="BA65" t="s">
        <v>200</v>
      </c>
      <c r="BB65" t="s">
        <v>201</v>
      </c>
      <c r="BD65" t="s">
        <v>200</v>
      </c>
      <c r="BE65" t="s">
        <v>229</v>
      </c>
      <c r="BF65" t="s">
        <v>197</v>
      </c>
      <c r="BG65" t="s">
        <v>230</v>
      </c>
      <c r="BH65" t="s">
        <v>307</v>
      </c>
      <c r="BJ65" t="s">
        <v>205</v>
      </c>
      <c r="BK65" t="s">
        <v>206</v>
      </c>
      <c r="BL65" t="s">
        <v>194</v>
      </c>
      <c r="BO65" t="s">
        <v>216</v>
      </c>
      <c r="BP65" t="s">
        <v>216</v>
      </c>
      <c r="BR65" t="s">
        <v>232</v>
      </c>
      <c r="BT65" t="s">
        <v>197</v>
      </c>
      <c r="BV65" t="s">
        <v>233</v>
      </c>
      <c r="CA65" t="s">
        <v>214</v>
      </c>
      <c r="CB65" t="s">
        <v>214</v>
      </c>
      <c r="CF65" t="s">
        <v>215</v>
      </c>
      <c r="CH65" t="s">
        <v>214</v>
      </c>
      <c r="CI65" t="s">
        <v>214</v>
      </c>
      <c r="CJ65" t="s">
        <v>214</v>
      </c>
      <c r="CP65" t="s">
        <v>214</v>
      </c>
      <c r="CS65" t="s">
        <v>216</v>
      </c>
      <c r="CV65" t="s">
        <v>214</v>
      </c>
      <c r="CW65" t="s">
        <v>214</v>
      </c>
      <c r="CX65" t="s">
        <v>217</v>
      </c>
      <c r="CY65" t="s">
        <v>214</v>
      </c>
      <c r="DA65" t="s">
        <v>218</v>
      </c>
    </row>
    <row r="66" spans="1:105" x14ac:dyDescent="0.3">
      <c r="A66">
        <v>1225693</v>
      </c>
      <c r="B66">
        <v>611367</v>
      </c>
      <c r="C66" t="str">
        <f>"091009654462"</f>
        <v>091009654462</v>
      </c>
      <c r="D66" t="s">
        <v>463</v>
      </c>
      <c r="E66" t="s">
        <v>371</v>
      </c>
      <c r="F66" t="s">
        <v>464</v>
      </c>
      <c r="G66" s="1">
        <v>40095</v>
      </c>
      <c r="I66" t="s">
        <v>222</v>
      </c>
      <c r="J66" t="s">
        <v>188</v>
      </c>
      <c r="K66" t="s">
        <v>223</v>
      </c>
      <c r="Y66" t="str">
        <f>"2014-09-01T00:00:00"</f>
        <v>2014-09-01T00:00:00</v>
      </c>
      <c r="Z66" t="str">
        <f>"№76"</f>
        <v>№76</v>
      </c>
      <c r="AA66" t="s">
        <v>224</v>
      </c>
      <c r="AC66" t="s">
        <v>225</v>
      </c>
      <c r="AD66" t="s">
        <v>242</v>
      </c>
      <c r="AE66" t="s">
        <v>227</v>
      </c>
      <c r="AF66" t="s">
        <v>194</v>
      </c>
      <c r="AH66" t="s">
        <v>195</v>
      </c>
      <c r="AI66">
        <v>1</v>
      </c>
      <c r="AJ66" t="s">
        <v>196</v>
      </c>
      <c r="AK66" t="s">
        <v>194</v>
      </c>
      <c r="AL66" t="s">
        <v>197</v>
      </c>
      <c r="AM66" t="s">
        <v>198</v>
      </c>
      <c r="AR66" t="s">
        <v>194</v>
      </c>
      <c r="AS66" t="s">
        <v>199</v>
      </c>
      <c r="AU66" t="s">
        <v>197</v>
      </c>
      <c r="AZ66" t="s">
        <v>194</v>
      </c>
      <c r="BA66" t="s">
        <v>200</v>
      </c>
      <c r="BB66" t="s">
        <v>201</v>
      </c>
      <c r="BD66" t="s">
        <v>200</v>
      </c>
      <c r="BE66" t="s">
        <v>229</v>
      </c>
      <c r="BF66" t="s">
        <v>197</v>
      </c>
      <c r="BG66" t="s">
        <v>230</v>
      </c>
      <c r="BH66" t="s">
        <v>263</v>
      </c>
      <c r="BJ66" t="s">
        <v>205</v>
      </c>
      <c r="BK66" t="s">
        <v>206</v>
      </c>
      <c r="BL66" t="s">
        <v>194</v>
      </c>
      <c r="BO66" t="s">
        <v>216</v>
      </c>
      <c r="BP66" t="s">
        <v>216</v>
      </c>
      <c r="BR66" t="s">
        <v>232</v>
      </c>
      <c r="BT66" t="s">
        <v>197</v>
      </c>
      <c r="BV66" t="s">
        <v>233</v>
      </c>
      <c r="CA66" t="s">
        <v>194</v>
      </c>
      <c r="CB66" t="s">
        <v>214</v>
      </c>
      <c r="CF66" t="s">
        <v>215</v>
      </c>
      <c r="CH66" t="s">
        <v>214</v>
      </c>
      <c r="CI66" t="s">
        <v>214</v>
      </c>
      <c r="CJ66" t="s">
        <v>214</v>
      </c>
      <c r="CP66" t="s">
        <v>214</v>
      </c>
      <c r="CS66" t="s">
        <v>216</v>
      </c>
      <c r="CV66" t="s">
        <v>214</v>
      </c>
      <c r="CW66" t="s">
        <v>214</v>
      </c>
      <c r="CX66" t="s">
        <v>217</v>
      </c>
      <c r="CY66" t="s">
        <v>214</v>
      </c>
      <c r="DA66" t="s">
        <v>218</v>
      </c>
    </row>
    <row r="67" spans="1:105" x14ac:dyDescent="0.3">
      <c r="A67">
        <v>1225696</v>
      </c>
      <c r="B67">
        <v>611413</v>
      </c>
      <c r="C67" t="str">
        <f>"090829653856"</f>
        <v>090829653856</v>
      </c>
      <c r="D67" t="s">
        <v>441</v>
      </c>
      <c r="E67" t="s">
        <v>330</v>
      </c>
      <c r="F67" t="s">
        <v>365</v>
      </c>
      <c r="G67" s="1">
        <v>40054</v>
      </c>
      <c r="I67" t="s">
        <v>222</v>
      </c>
      <c r="J67" t="s">
        <v>188</v>
      </c>
      <c r="K67" t="s">
        <v>223</v>
      </c>
      <c r="Y67" t="str">
        <f>"2015-09-01T00:00:00"</f>
        <v>2015-09-01T00:00:00</v>
      </c>
      <c r="Z67" t="str">
        <f>"№46"</f>
        <v>№46</v>
      </c>
      <c r="AA67" t="s">
        <v>224</v>
      </c>
      <c r="AC67" t="s">
        <v>225</v>
      </c>
      <c r="AD67" t="s">
        <v>242</v>
      </c>
      <c r="AE67" t="s">
        <v>193</v>
      </c>
      <c r="AF67" t="s">
        <v>194</v>
      </c>
      <c r="AH67" t="s">
        <v>195</v>
      </c>
      <c r="AI67">
        <v>1</v>
      </c>
      <c r="AJ67" t="s">
        <v>196</v>
      </c>
      <c r="AK67" t="s">
        <v>194</v>
      </c>
      <c r="AL67" t="s">
        <v>197</v>
      </c>
      <c r="AM67" t="s">
        <v>198</v>
      </c>
      <c r="AR67" t="s">
        <v>194</v>
      </c>
      <c r="AS67" t="s">
        <v>199</v>
      </c>
      <c r="AU67" t="s">
        <v>197</v>
      </c>
      <c r="AZ67" t="s">
        <v>194</v>
      </c>
      <c r="BA67" t="s">
        <v>200</v>
      </c>
      <c r="BB67" t="s">
        <v>201</v>
      </c>
      <c r="BD67" t="s">
        <v>200</v>
      </c>
      <c r="BE67" t="s">
        <v>229</v>
      </c>
      <c r="BF67" t="s">
        <v>197</v>
      </c>
      <c r="BG67" t="s">
        <v>230</v>
      </c>
      <c r="BH67" t="s">
        <v>231</v>
      </c>
      <c r="BJ67" t="s">
        <v>205</v>
      </c>
      <c r="BK67" t="s">
        <v>206</v>
      </c>
      <c r="BL67" t="s">
        <v>194</v>
      </c>
      <c r="BO67" t="s">
        <v>216</v>
      </c>
      <c r="BP67" t="s">
        <v>216</v>
      </c>
      <c r="BR67" t="s">
        <v>232</v>
      </c>
      <c r="BT67" t="s">
        <v>197</v>
      </c>
      <c r="BV67" t="s">
        <v>233</v>
      </c>
      <c r="CA67" t="s">
        <v>194</v>
      </c>
      <c r="CB67" t="s">
        <v>214</v>
      </c>
      <c r="CF67" t="s">
        <v>215</v>
      </c>
      <c r="CH67" t="s">
        <v>214</v>
      </c>
      <c r="CI67" t="s">
        <v>214</v>
      </c>
      <c r="CJ67" t="s">
        <v>214</v>
      </c>
      <c r="CP67" t="s">
        <v>214</v>
      </c>
      <c r="CS67" t="s">
        <v>216</v>
      </c>
      <c r="CV67" t="s">
        <v>214</v>
      </c>
      <c r="CW67" t="s">
        <v>214</v>
      </c>
      <c r="CX67" t="s">
        <v>217</v>
      </c>
      <c r="CY67" t="s">
        <v>214</v>
      </c>
      <c r="DA67" t="s">
        <v>218</v>
      </c>
    </row>
    <row r="68" spans="1:105" x14ac:dyDescent="0.3">
      <c r="A68">
        <v>1225731</v>
      </c>
      <c r="B68">
        <v>611534</v>
      </c>
      <c r="C68" t="str">
        <f>"100918550902"</f>
        <v>100918550902</v>
      </c>
      <c r="D68" t="s">
        <v>445</v>
      </c>
      <c r="E68" t="s">
        <v>376</v>
      </c>
      <c r="F68" t="s">
        <v>435</v>
      </c>
      <c r="G68" s="1">
        <v>40439</v>
      </c>
      <c r="I68" t="s">
        <v>187</v>
      </c>
      <c r="J68" t="s">
        <v>188</v>
      </c>
      <c r="K68" t="s">
        <v>223</v>
      </c>
      <c r="Y68" t="str">
        <f>"2017-08-07T00:00:00"</f>
        <v>2017-08-07T00:00:00</v>
      </c>
      <c r="Z68" t="str">
        <f>"№25"</f>
        <v>№25</v>
      </c>
      <c r="AA68" t="s">
        <v>224</v>
      </c>
      <c r="AC68" t="s">
        <v>225</v>
      </c>
      <c r="AD68" t="s">
        <v>261</v>
      </c>
      <c r="AE68" t="s">
        <v>193</v>
      </c>
      <c r="AF68" t="s">
        <v>194</v>
      </c>
      <c r="AH68" t="s">
        <v>195</v>
      </c>
      <c r="AI68">
        <v>2</v>
      </c>
      <c r="AJ68" t="s">
        <v>196</v>
      </c>
      <c r="AK68" t="s">
        <v>194</v>
      </c>
      <c r="AL68" t="s">
        <v>197</v>
      </c>
      <c r="AM68" t="s">
        <v>198</v>
      </c>
      <c r="AR68" t="s">
        <v>194</v>
      </c>
      <c r="AS68" t="s">
        <v>199</v>
      </c>
      <c r="AU68" t="s">
        <v>197</v>
      </c>
      <c r="AZ68" t="s">
        <v>194</v>
      </c>
      <c r="BA68" t="s">
        <v>200</v>
      </c>
      <c r="BB68" t="s">
        <v>201</v>
      </c>
      <c r="BD68" t="s">
        <v>200</v>
      </c>
      <c r="BE68" t="s">
        <v>244</v>
      </c>
      <c r="BF68" t="s">
        <v>197</v>
      </c>
      <c r="BG68" t="s">
        <v>269</v>
      </c>
      <c r="BH68" t="s">
        <v>432</v>
      </c>
      <c r="BJ68" t="s">
        <v>205</v>
      </c>
      <c r="BK68" t="s">
        <v>206</v>
      </c>
      <c r="BL68" t="s">
        <v>194</v>
      </c>
      <c r="BO68" t="s">
        <v>216</v>
      </c>
      <c r="BP68" t="s">
        <v>216</v>
      </c>
      <c r="BQ68" t="s">
        <v>271</v>
      </c>
      <c r="BR68" t="s">
        <v>232</v>
      </c>
      <c r="BT68" t="s">
        <v>197</v>
      </c>
      <c r="BV68" t="s">
        <v>233</v>
      </c>
      <c r="CA68" t="s">
        <v>194</v>
      </c>
      <c r="CB68" t="s">
        <v>194</v>
      </c>
      <c r="CC68" t="s">
        <v>264</v>
      </c>
      <c r="CD68" t="s">
        <v>265</v>
      </c>
      <c r="CE68" t="s">
        <v>266</v>
      </c>
      <c r="CF68" t="s">
        <v>215</v>
      </c>
      <c r="CH68" t="s">
        <v>214</v>
      </c>
      <c r="CI68" t="s">
        <v>214</v>
      </c>
      <c r="CJ68" t="s">
        <v>214</v>
      </c>
      <c r="CP68" t="s">
        <v>214</v>
      </c>
      <c r="CS68" t="s">
        <v>216</v>
      </c>
      <c r="CV68" t="s">
        <v>214</v>
      </c>
      <c r="CW68" t="s">
        <v>214</v>
      </c>
      <c r="CX68" t="s">
        <v>217</v>
      </c>
      <c r="CY68" t="s">
        <v>214</v>
      </c>
      <c r="DA68" t="s">
        <v>218</v>
      </c>
    </row>
    <row r="69" spans="1:105" x14ac:dyDescent="0.3">
      <c r="A69">
        <v>1225747</v>
      </c>
      <c r="B69">
        <v>611655</v>
      </c>
      <c r="C69" t="str">
        <f>"090322550869"</f>
        <v>090322550869</v>
      </c>
      <c r="D69" t="s">
        <v>465</v>
      </c>
      <c r="E69" t="s">
        <v>466</v>
      </c>
      <c r="F69" t="s">
        <v>467</v>
      </c>
      <c r="G69" s="1">
        <v>39894</v>
      </c>
      <c r="I69" t="s">
        <v>187</v>
      </c>
      <c r="J69" t="s">
        <v>188</v>
      </c>
      <c r="K69" t="s">
        <v>189</v>
      </c>
      <c r="Y69" t="str">
        <f>"2015-09-01T00:00:00"</f>
        <v>2015-09-01T00:00:00</v>
      </c>
      <c r="Z69" t="str">
        <f>"№46"</f>
        <v>№46</v>
      </c>
      <c r="AA69" t="s">
        <v>224</v>
      </c>
      <c r="AC69" t="s">
        <v>237</v>
      </c>
      <c r="AD69" t="s">
        <v>242</v>
      </c>
      <c r="AE69" t="s">
        <v>227</v>
      </c>
      <c r="AF69" t="s">
        <v>194</v>
      </c>
      <c r="AH69" t="s">
        <v>195</v>
      </c>
      <c r="AI69">
        <v>1</v>
      </c>
      <c r="AJ69" t="s">
        <v>196</v>
      </c>
      <c r="AK69" t="s">
        <v>194</v>
      </c>
      <c r="AL69" t="s">
        <v>197</v>
      </c>
      <c r="AM69" t="s">
        <v>198</v>
      </c>
      <c r="AR69" t="s">
        <v>194</v>
      </c>
      <c r="AS69" t="s">
        <v>199</v>
      </c>
      <c r="AU69" t="s">
        <v>197</v>
      </c>
      <c r="AZ69" t="s">
        <v>194</v>
      </c>
      <c r="BA69" t="s">
        <v>200</v>
      </c>
      <c r="BB69" t="s">
        <v>201</v>
      </c>
      <c r="BD69" t="s">
        <v>200</v>
      </c>
      <c r="BE69" t="s">
        <v>229</v>
      </c>
      <c r="BF69" t="s">
        <v>197</v>
      </c>
      <c r="BG69" t="s">
        <v>230</v>
      </c>
      <c r="BH69" t="s">
        <v>299</v>
      </c>
      <c r="BJ69" t="s">
        <v>205</v>
      </c>
      <c r="BK69" t="s">
        <v>206</v>
      </c>
      <c r="BL69" t="s">
        <v>194</v>
      </c>
      <c r="BO69" t="s">
        <v>216</v>
      </c>
      <c r="BP69" t="s">
        <v>216</v>
      </c>
      <c r="BR69" t="s">
        <v>232</v>
      </c>
      <c r="BT69" t="s">
        <v>197</v>
      </c>
      <c r="BV69" t="s">
        <v>233</v>
      </c>
      <c r="CA69" t="s">
        <v>194</v>
      </c>
      <c r="CB69" t="s">
        <v>214</v>
      </c>
      <c r="CF69" t="s">
        <v>215</v>
      </c>
      <c r="CH69" t="s">
        <v>214</v>
      </c>
      <c r="CI69" t="s">
        <v>214</v>
      </c>
      <c r="CJ69" t="s">
        <v>214</v>
      </c>
      <c r="CP69" t="s">
        <v>214</v>
      </c>
      <c r="CS69" t="s">
        <v>216</v>
      </c>
      <c r="CV69" t="s">
        <v>214</v>
      </c>
      <c r="CW69" t="s">
        <v>214</v>
      </c>
      <c r="CX69" t="s">
        <v>217</v>
      </c>
      <c r="CY69" t="s">
        <v>214</v>
      </c>
      <c r="DA69" t="s">
        <v>218</v>
      </c>
    </row>
    <row r="70" spans="1:105" x14ac:dyDescent="0.3">
      <c r="A70">
        <v>1225775</v>
      </c>
      <c r="B70">
        <v>931621</v>
      </c>
      <c r="C70" t="str">
        <f>"091114551511"</f>
        <v>091114551511</v>
      </c>
      <c r="D70" t="s">
        <v>468</v>
      </c>
      <c r="E70" t="s">
        <v>469</v>
      </c>
      <c r="F70" t="s">
        <v>470</v>
      </c>
      <c r="G70" s="1">
        <v>40131</v>
      </c>
      <c r="I70" t="s">
        <v>187</v>
      </c>
      <c r="J70" t="s">
        <v>188</v>
      </c>
      <c r="K70" t="s">
        <v>189</v>
      </c>
      <c r="Y70" t="str">
        <f>"2016-08-29T00:00:00"</f>
        <v>2016-08-29T00:00:00</v>
      </c>
      <c r="Z70" t="str">
        <f>"№39"</f>
        <v>№39</v>
      </c>
      <c r="AA70" t="s">
        <v>190</v>
      </c>
      <c r="AC70" t="s">
        <v>237</v>
      </c>
      <c r="AD70" t="s">
        <v>242</v>
      </c>
      <c r="AE70" t="s">
        <v>243</v>
      </c>
      <c r="AF70" t="s">
        <v>194</v>
      </c>
      <c r="AH70" t="s">
        <v>195</v>
      </c>
      <c r="AI70">
        <v>1</v>
      </c>
      <c r="AJ70" t="s">
        <v>196</v>
      </c>
      <c r="AK70" t="s">
        <v>194</v>
      </c>
      <c r="AL70" t="s">
        <v>197</v>
      </c>
      <c r="AM70" t="s">
        <v>198</v>
      </c>
      <c r="AQ70" t="str">
        <f>"2021-02-03T11:04:34"</f>
        <v>2021-02-03T11:04:34</v>
      </c>
      <c r="AR70" t="s">
        <v>194</v>
      </c>
      <c r="AS70" t="s">
        <v>199</v>
      </c>
      <c r="AU70" t="s">
        <v>197</v>
      </c>
      <c r="AZ70" t="s">
        <v>194</v>
      </c>
      <c r="BA70" t="s">
        <v>200</v>
      </c>
      <c r="BB70" t="s">
        <v>201</v>
      </c>
      <c r="BD70" t="s">
        <v>200</v>
      </c>
      <c r="BE70" t="s">
        <v>229</v>
      </c>
      <c r="BF70" t="s">
        <v>197</v>
      </c>
      <c r="BG70" t="s">
        <v>230</v>
      </c>
      <c r="BH70" t="s">
        <v>456</v>
      </c>
      <c r="BJ70" t="s">
        <v>205</v>
      </c>
      <c r="BK70" t="s">
        <v>206</v>
      </c>
      <c r="BL70" t="s">
        <v>194</v>
      </c>
      <c r="BO70" t="s">
        <v>200</v>
      </c>
      <c r="BP70" t="s">
        <v>200</v>
      </c>
      <c r="BR70" t="s">
        <v>232</v>
      </c>
      <c r="BT70" t="s">
        <v>197</v>
      </c>
      <c r="BV70" t="s">
        <v>471</v>
      </c>
      <c r="BW70" t="s">
        <v>472</v>
      </c>
      <c r="BX70" t="s">
        <v>301</v>
      </c>
      <c r="BY70" t="s">
        <v>212</v>
      </c>
      <c r="BZ70" t="s">
        <v>473</v>
      </c>
      <c r="CA70" t="s">
        <v>194</v>
      </c>
      <c r="CB70" t="s">
        <v>214</v>
      </c>
      <c r="CF70" t="s">
        <v>215</v>
      </c>
      <c r="CH70" t="s">
        <v>214</v>
      </c>
      <c r="CI70" t="s">
        <v>214</v>
      </c>
      <c r="CJ70" t="s">
        <v>214</v>
      </c>
      <c r="CP70" t="s">
        <v>214</v>
      </c>
      <c r="CS70" t="s">
        <v>216</v>
      </c>
      <c r="CV70" t="s">
        <v>214</v>
      </c>
      <c r="CW70" t="s">
        <v>214</v>
      </c>
      <c r="CX70" t="s">
        <v>217</v>
      </c>
      <c r="CY70" t="s">
        <v>214</v>
      </c>
      <c r="DA70" t="s">
        <v>218</v>
      </c>
    </row>
    <row r="71" spans="1:105" x14ac:dyDescent="0.3">
      <c r="A71">
        <v>1225816</v>
      </c>
      <c r="B71">
        <v>611976</v>
      </c>
      <c r="C71" t="str">
        <f>"090822653759"</f>
        <v>090822653759</v>
      </c>
      <c r="D71" t="s">
        <v>474</v>
      </c>
      <c r="E71" t="s">
        <v>475</v>
      </c>
      <c r="F71" t="s">
        <v>476</v>
      </c>
      <c r="G71" s="1">
        <v>40047</v>
      </c>
      <c r="I71" t="s">
        <v>222</v>
      </c>
      <c r="J71" t="s">
        <v>188</v>
      </c>
      <c r="K71" t="s">
        <v>189</v>
      </c>
      <c r="Y71" t="str">
        <f>"2015-09-01T00:00:00"</f>
        <v>2015-09-01T00:00:00</v>
      </c>
      <c r="Z71" t="str">
        <f>"№46"</f>
        <v>№46</v>
      </c>
      <c r="AA71" t="s">
        <v>224</v>
      </c>
      <c r="AC71" t="s">
        <v>225</v>
      </c>
      <c r="AD71" t="s">
        <v>242</v>
      </c>
      <c r="AE71" t="s">
        <v>227</v>
      </c>
      <c r="AF71" t="s">
        <v>194</v>
      </c>
      <c r="AH71" t="s">
        <v>195</v>
      </c>
      <c r="AI71">
        <v>1</v>
      </c>
      <c r="AJ71" t="s">
        <v>196</v>
      </c>
      <c r="AK71" t="s">
        <v>194</v>
      </c>
      <c r="AL71" t="s">
        <v>197</v>
      </c>
      <c r="AM71" t="s">
        <v>198</v>
      </c>
      <c r="AQ71" t="str">
        <f>"2020-11-11T13:34:47"</f>
        <v>2020-11-11T13:34:47</v>
      </c>
      <c r="AR71" t="s">
        <v>194</v>
      </c>
      <c r="AS71" t="s">
        <v>199</v>
      </c>
      <c r="AU71" t="s">
        <v>197</v>
      </c>
      <c r="AZ71" t="s">
        <v>194</v>
      </c>
      <c r="BA71" t="s">
        <v>200</v>
      </c>
      <c r="BB71" t="s">
        <v>201</v>
      </c>
      <c r="BD71" t="s">
        <v>200</v>
      </c>
      <c r="BE71" t="s">
        <v>229</v>
      </c>
      <c r="BF71" t="s">
        <v>197</v>
      </c>
      <c r="BG71" t="s">
        <v>230</v>
      </c>
      <c r="BH71" t="s">
        <v>307</v>
      </c>
      <c r="BJ71" t="s">
        <v>205</v>
      </c>
      <c r="BK71" t="s">
        <v>206</v>
      </c>
      <c r="BL71" t="s">
        <v>194</v>
      </c>
      <c r="BO71" t="s">
        <v>200</v>
      </c>
      <c r="BP71" t="s">
        <v>200</v>
      </c>
      <c r="BR71" t="s">
        <v>232</v>
      </c>
      <c r="BT71" t="s">
        <v>197</v>
      </c>
      <c r="BV71" t="s">
        <v>233</v>
      </c>
      <c r="CA71" t="s">
        <v>194</v>
      </c>
      <c r="CB71" t="s">
        <v>214</v>
      </c>
      <c r="CF71" t="s">
        <v>215</v>
      </c>
      <c r="CH71" t="s">
        <v>214</v>
      </c>
      <c r="CI71" t="s">
        <v>214</v>
      </c>
      <c r="CJ71" t="s">
        <v>214</v>
      </c>
      <c r="CP71" t="s">
        <v>214</v>
      </c>
      <c r="CS71" t="s">
        <v>216</v>
      </c>
      <c r="CV71" t="s">
        <v>214</v>
      </c>
      <c r="CW71" t="s">
        <v>214</v>
      </c>
      <c r="CX71" t="s">
        <v>217</v>
      </c>
      <c r="CY71" t="s">
        <v>214</v>
      </c>
      <c r="DA71" t="s">
        <v>218</v>
      </c>
    </row>
    <row r="72" spans="1:105" x14ac:dyDescent="0.3">
      <c r="A72">
        <v>1225837</v>
      </c>
      <c r="B72">
        <v>611990</v>
      </c>
      <c r="C72" t="str">
        <f>"090302554367"</f>
        <v>090302554367</v>
      </c>
      <c r="D72" t="s">
        <v>477</v>
      </c>
      <c r="E72" t="s">
        <v>478</v>
      </c>
      <c r="F72" t="s">
        <v>479</v>
      </c>
      <c r="G72" s="1">
        <v>39874</v>
      </c>
      <c r="I72" t="s">
        <v>187</v>
      </c>
      <c r="J72" t="s">
        <v>188</v>
      </c>
      <c r="K72" t="s">
        <v>189</v>
      </c>
      <c r="Y72" t="str">
        <f>"2015-09-01T00:00:00"</f>
        <v>2015-09-01T00:00:00</v>
      </c>
      <c r="Z72" t="str">
        <f>"№46"</f>
        <v>№46</v>
      </c>
      <c r="AA72" t="s">
        <v>224</v>
      </c>
      <c r="AC72" t="s">
        <v>237</v>
      </c>
      <c r="AD72" t="s">
        <v>226</v>
      </c>
      <c r="AE72" t="s">
        <v>227</v>
      </c>
      <c r="AF72" t="s">
        <v>194</v>
      </c>
      <c r="AH72" t="s">
        <v>195</v>
      </c>
      <c r="AI72">
        <v>2</v>
      </c>
      <c r="AJ72" t="s">
        <v>196</v>
      </c>
      <c r="AK72" t="s">
        <v>194</v>
      </c>
      <c r="AL72" t="s">
        <v>197</v>
      </c>
      <c r="AM72" t="s">
        <v>228</v>
      </c>
      <c r="AR72" t="s">
        <v>194</v>
      </c>
      <c r="AS72" t="s">
        <v>199</v>
      </c>
      <c r="AU72" t="s">
        <v>197</v>
      </c>
      <c r="AZ72" t="s">
        <v>194</v>
      </c>
      <c r="BA72" t="s">
        <v>200</v>
      </c>
      <c r="BB72" t="s">
        <v>201</v>
      </c>
      <c r="BC72" t="s">
        <v>200</v>
      </c>
      <c r="BE72" t="s">
        <v>229</v>
      </c>
      <c r="BF72" t="s">
        <v>197</v>
      </c>
      <c r="BG72" t="s">
        <v>238</v>
      </c>
      <c r="BH72">
        <v>4</v>
      </c>
      <c r="BJ72" t="s">
        <v>205</v>
      </c>
      <c r="BK72" t="s">
        <v>206</v>
      </c>
      <c r="BL72" t="s">
        <v>194</v>
      </c>
      <c r="BO72" t="s">
        <v>200</v>
      </c>
      <c r="BP72" t="s">
        <v>200</v>
      </c>
      <c r="BR72" t="s">
        <v>246</v>
      </c>
      <c r="BS72" t="s">
        <v>208</v>
      </c>
      <c r="BT72" t="s">
        <v>197</v>
      </c>
      <c r="BV72" t="s">
        <v>233</v>
      </c>
      <c r="CA72" t="s">
        <v>194</v>
      </c>
      <c r="CB72" t="s">
        <v>214</v>
      </c>
      <c r="CF72" t="s">
        <v>215</v>
      </c>
      <c r="CH72" t="s">
        <v>214</v>
      </c>
      <c r="CI72" t="s">
        <v>214</v>
      </c>
      <c r="CJ72" t="s">
        <v>214</v>
      </c>
      <c r="CP72" t="s">
        <v>214</v>
      </c>
      <c r="CS72" t="s">
        <v>216</v>
      </c>
      <c r="CV72" t="s">
        <v>214</v>
      </c>
      <c r="CW72" t="s">
        <v>214</v>
      </c>
      <c r="CX72" t="s">
        <v>217</v>
      </c>
      <c r="CY72" t="s">
        <v>214</v>
      </c>
      <c r="DA72" t="s">
        <v>218</v>
      </c>
    </row>
    <row r="73" spans="1:105" x14ac:dyDescent="0.3">
      <c r="A73">
        <v>1225853</v>
      </c>
      <c r="B73">
        <v>612126</v>
      </c>
      <c r="C73" t="str">
        <f>"091025652156"</f>
        <v>091025652156</v>
      </c>
      <c r="D73" t="s">
        <v>480</v>
      </c>
      <c r="E73" t="s">
        <v>481</v>
      </c>
      <c r="F73" t="s">
        <v>336</v>
      </c>
      <c r="G73" s="1">
        <v>40111</v>
      </c>
      <c r="I73" t="s">
        <v>222</v>
      </c>
      <c r="J73" t="s">
        <v>188</v>
      </c>
      <c r="K73" t="s">
        <v>345</v>
      </c>
      <c r="Y73" t="str">
        <f>"2014-09-01T00:00:00"</f>
        <v>2014-09-01T00:00:00</v>
      </c>
      <c r="Z73" t="str">
        <f>"№76"</f>
        <v>№76</v>
      </c>
      <c r="AA73" t="s">
        <v>224</v>
      </c>
      <c r="AC73" t="s">
        <v>225</v>
      </c>
      <c r="AD73" t="s">
        <v>242</v>
      </c>
      <c r="AE73" t="s">
        <v>227</v>
      </c>
      <c r="AF73" t="s">
        <v>194</v>
      </c>
      <c r="AH73" t="s">
        <v>195</v>
      </c>
      <c r="AI73">
        <v>2</v>
      </c>
      <c r="AJ73" t="s">
        <v>196</v>
      </c>
      <c r="AK73" t="s">
        <v>194</v>
      </c>
      <c r="AL73" t="s">
        <v>197</v>
      </c>
      <c r="AM73" t="s">
        <v>198</v>
      </c>
      <c r="AR73" t="s">
        <v>194</v>
      </c>
      <c r="AS73" t="s">
        <v>199</v>
      </c>
      <c r="AU73" t="s">
        <v>197</v>
      </c>
      <c r="AZ73" t="s">
        <v>194</v>
      </c>
      <c r="BA73" t="s">
        <v>200</v>
      </c>
      <c r="BB73" t="s">
        <v>201</v>
      </c>
      <c r="BD73" t="s">
        <v>200</v>
      </c>
      <c r="BE73" t="s">
        <v>244</v>
      </c>
      <c r="BF73" t="s">
        <v>197</v>
      </c>
      <c r="BG73" t="s">
        <v>262</v>
      </c>
      <c r="BH73" t="s">
        <v>245</v>
      </c>
      <c r="BJ73" t="s">
        <v>205</v>
      </c>
      <c r="BK73" t="s">
        <v>206</v>
      </c>
      <c r="BL73" t="s">
        <v>194</v>
      </c>
      <c r="BO73" t="s">
        <v>216</v>
      </c>
      <c r="BP73" t="s">
        <v>216</v>
      </c>
      <c r="BR73" t="s">
        <v>232</v>
      </c>
      <c r="BT73" t="s">
        <v>197</v>
      </c>
      <c r="BV73" t="s">
        <v>415</v>
      </c>
      <c r="BW73" t="s">
        <v>416</v>
      </c>
      <c r="BX73" t="s">
        <v>211</v>
      </c>
      <c r="BY73" t="s">
        <v>212</v>
      </c>
      <c r="BZ73" t="s">
        <v>482</v>
      </c>
      <c r="CA73" t="s">
        <v>194</v>
      </c>
      <c r="CB73" t="s">
        <v>214</v>
      </c>
      <c r="CF73" t="s">
        <v>215</v>
      </c>
      <c r="CH73" t="s">
        <v>214</v>
      </c>
      <c r="CI73" t="s">
        <v>214</v>
      </c>
      <c r="CJ73" t="s">
        <v>214</v>
      </c>
      <c r="CP73" t="s">
        <v>214</v>
      </c>
      <c r="CS73" t="s">
        <v>216</v>
      </c>
      <c r="CV73" t="s">
        <v>214</v>
      </c>
      <c r="CW73" t="s">
        <v>214</v>
      </c>
      <c r="CX73" t="s">
        <v>217</v>
      </c>
      <c r="CY73" t="s">
        <v>214</v>
      </c>
      <c r="DA73" t="s">
        <v>218</v>
      </c>
    </row>
    <row r="74" spans="1:105" x14ac:dyDescent="0.3">
      <c r="A74">
        <v>1225879</v>
      </c>
      <c r="B74">
        <v>612156</v>
      </c>
      <c r="C74" t="str">
        <f>"091119652908"</f>
        <v>091119652908</v>
      </c>
      <c r="D74" t="s">
        <v>483</v>
      </c>
      <c r="E74" t="s">
        <v>484</v>
      </c>
      <c r="F74" t="s">
        <v>485</v>
      </c>
      <c r="G74" s="1">
        <v>40136</v>
      </c>
      <c r="I74" t="s">
        <v>222</v>
      </c>
      <c r="J74" t="s">
        <v>188</v>
      </c>
      <c r="K74" t="s">
        <v>486</v>
      </c>
      <c r="Y74" t="str">
        <f>"2014-09-01T00:00:00"</f>
        <v>2014-09-01T00:00:00</v>
      </c>
      <c r="Z74" t="str">
        <f>"№76"</f>
        <v>№76</v>
      </c>
      <c r="AA74" t="s">
        <v>224</v>
      </c>
      <c r="AC74" t="s">
        <v>255</v>
      </c>
      <c r="AD74" t="s">
        <v>242</v>
      </c>
      <c r="AE74" t="s">
        <v>227</v>
      </c>
      <c r="AF74" t="s">
        <v>194</v>
      </c>
      <c r="AH74" t="s">
        <v>195</v>
      </c>
      <c r="AI74">
        <v>1</v>
      </c>
      <c r="AJ74" t="s">
        <v>196</v>
      </c>
      <c r="AK74" t="s">
        <v>194</v>
      </c>
      <c r="AL74" t="s">
        <v>197</v>
      </c>
      <c r="AM74" t="s">
        <v>198</v>
      </c>
      <c r="AR74" t="s">
        <v>194</v>
      </c>
      <c r="AS74" t="s">
        <v>199</v>
      </c>
      <c r="AU74" t="s">
        <v>197</v>
      </c>
      <c r="AZ74" t="s">
        <v>194</v>
      </c>
      <c r="BA74" t="s">
        <v>200</v>
      </c>
      <c r="BB74" t="s">
        <v>201</v>
      </c>
      <c r="BD74" t="s">
        <v>200</v>
      </c>
      <c r="BE74" t="s">
        <v>202</v>
      </c>
      <c r="BF74" t="s">
        <v>197</v>
      </c>
      <c r="BG74" t="s">
        <v>230</v>
      </c>
      <c r="BH74" t="s">
        <v>420</v>
      </c>
      <c r="BJ74" t="s">
        <v>205</v>
      </c>
      <c r="BK74" t="s">
        <v>206</v>
      </c>
      <c r="BL74" t="s">
        <v>194</v>
      </c>
      <c r="BO74" t="s">
        <v>216</v>
      </c>
      <c r="BP74" t="s">
        <v>216</v>
      </c>
      <c r="BR74" t="s">
        <v>232</v>
      </c>
      <c r="BT74" t="s">
        <v>197</v>
      </c>
      <c r="BV74" t="s">
        <v>233</v>
      </c>
      <c r="CA74" t="s">
        <v>194</v>
      </c>
      <c r="CB74" t="s">
        <v>214</v>
      </c>
      <c r="CF74" t="s">
        <v>215</v>
      </c>
      <c r="CH74" t="s">
        <v>214</v>
      </c>
      <c r="CI74" t="s">
        <v>214</v>
      </c>
      <c r="CJ74" t="s">
        <v>214</v>
      </c>
      <c r="CP74" t="s">
        <v>214</v>
      </c>
      <c r="CS74" t="s">
        <v>216</v>
      </c>
      <c r="CV74" t="s">
        <v>214</v>
      </c>
      <c r="CW74" t="s">
        <v>214</v>
      </c>
      <c r="CX74" t="s">
        <v>217</v>
      </c>
      <c r="CY74" t="s">
        <v>214</v>
      </c>
      <c r="DA74" t="s">
        <v>218</v>
      </c>
    </row>
    <row r="75" spans="1:105" x14ac:dyDescent="0.3">
      <c r="A75">
        <v>1225900</v>
      </c>
      <c r="B75">
        <v>612180</v>
      </c>
      <c r="C75" t="str">
        <f>"091011551264"</f>
        <v>091011551264</v>
      </c>
      <c r="D75" t="s">
        <v>487</v>
      </c>
      <c r="E75" t="s">
        <v>488</v>
      </c>
      <c r="F75" t="s">
        <v>489</v>
      </c>
      <c r="G75" s="1">
        <v>40097</v>
      </c>
      <c r="I75" t="s">
        <v>187</v>
      </c>
      <c r="J75" t="s">
        <v>188</v>
      </c>
      <c r="K75" t="s">
        <v>189</v>
      </c>
      <c r="Y75" t="str">
        <f>"2014-09-01T00:00:00"</f>
        <v>2014-09-01T00:00:00</v>
      </c>
      <c r="Z75" t="str">
        <f>"№76"</f>
        <v>№76</v>
      </c>
      <c r="AA75" t="s">
        <v>224</v>
      </c>
      <c r="AC75" t="s">
        <v>255</v>
      </c>
      <c r="AD75" t="s">
        <v>242</v>
      </c>
      <c r="AE75" t="s">
        <v>227</v>
      </c>
      <c r="AF75" t="s">
        <v>194</v>
      </c>
      <c r="AH75" t="s">
        <v>195</v>
      </c>
      <c r="AI75">
        <v>1</v>
      </c>
      <c r="AJ75" t="s">
        <v>196</v>
      </c>
      <c r="AK75" t="s">
        <v>194</v>
      </c>
      <c r="AL75" t="s">
        <v>197</v>
      </c>
      <c r="AM75" t="s">
        <v>198</v>
      </c>
      <c r="AR75" t="s">
        <v>194</v>
      </c>
      <c r="AS75" t="s">
        <v>199</v>
      </c>
      <c r="AU75" t="s">
        <v>197</v>
      </c>
      <c r="AZ75" t="s">
        <v>194</v>
      </c>
      <c r="BA75" t="s">
        <v>200</v>
      </c>
      <c r="BB75" t="s">
        <v>201</v>
      </c>
      <c r="BD75" t="s">
        <v>200</v>
      </c>
      <c r="BE75" t="s">
        <v>244</v>
      </c>
      <c r="BF75" t="s">
        <v>197</v>
      </c>
      <c r="BG75" t="s">
        <v>230</v>
      </c>
      <c r="BH75" t="s">
        <v>245</v>
      </c>
      <c r="BJ75" t="s">
        <v>205</v>
      </c>
      <c r="BK75" t="s">
        <v>206</v>
      </c>
      <c r="BL75" t="s">
        <v>194</v>
      </c>
      <c r="BO75" t="s">
        <v>200</v>
      </c>
      <c r="BP75" t="s">
        <v>200</v>
      </c>
      <c r="BR75" t="s">
        <v>246</v>
      </c>
      <c r="BS75" t="s">
        <v>208</v>
      </c>
      <c r="BT75" t="s">
        <v>197</v>
      </c>
      <c r="BV75" t="s">
        <v>490</v>
      </c>
      <c r="BW75" t="s">
        <v>491</v>
      </c>
      <c r="BX75" t="s">
        <v>492</v>
      </c>
      <c r="BY75" t="s">
        <v>493</v>
      </c>
      <c r="BZ75" t="s">
        <v>494</v>
      </c>
      <c r="CA75" t="s">
        <v>194</v>
      </c>
      <c r="CB75" t="s">
        <v>214</v>
      </c>
      <c r="CF75" t="s">
        <v>215</v>
      </c>
      <c r="CH75" t="s">
        <v>214</v>
      </c>
      <c r="CI75" t="s">
        <v>214</v>
      </c>
      <c r="CJ75" t="s">
        <v>214</v>
      </c>
      <c r="CP75" t="s">
        <v>214</v>
      </c>
      <c r="CS75" t="s">
        <v>216</v>
      </c>
      <c r="CV75" t="s">
        <v>214</v>
      </c>
      <c r="CW75" t="s">
        <v>214</v>
      </c>
      <c r="CX75" t="s">
        <v>217</v>
      </c>
      <c r="CY75" t="s">
        <v>214</v>
      </c>
      <c r="DA75" t="s">
        <v>218</v>
      </c>
    </row>
    <row r="76" spans="1:105" x14ac:dyDescent="0.3">
      <c r="A76">
        <v>1225915</v>
      </c>
      <c r="B76">
        <v>612206</v>
      </c>
      <c r="C76" t="str">
        <f>"090715651522"</f>
        <v>090715651522</v>
      </c>
      <c r="D76" t="s">
        <v>495</v>
      </c>
      <c r="E76" t="s">
        <v>496</v>
      </c>
      <c r="F76" t="s">
        <v>497</v>
      </c>
      <c r="G76" s="1">
        <v>40009</v>
      </c>
      <c r="I76" t="s">
        <v>222</v>
      </c>
      <c r="J76" t="s">
        <v>188</v>
      </c>
      <c r="K76" t="s">
        <v>498</v>
      </c>
      <c r="Y76" t="str">
        <f>"2014-09-01T00:00:00"</f>
        <v>2014-09-01T00:00:00</v>
      </c>
      <c r="Z76" t="str">
        <f>"№76"</f>
        <v>№76</v>
      </c>
      <c r="AA76" t="s">
        <v>224</v>
      </c>
      <c r="AC76" t="s">
        <v>255</v>
      </c>
      <c r="AD76" t="s">
        <v>242</v>
      </c>
      <c r="AE76" t="s">
        <v>227</v>
      </c>
      <c r="AF76" t="s">
        <v>194</v>
      </c>
      <c r="AH76" t="s">
        <v>195</v>
      </c>
      <c r="AI76">
        <v>1</v>
      </c>
      <c r="AJ76" t="s">
        <v>196</v>
      </c>
      <c r="AK76" t="s">
        <v>194</v>
      </c>
      <c r="AL76" t="s">
        <v>197</v>
      </c>
      <c r="AM76" t="s">
        <v>198</v>
      </c>
      <c r="AR76" t="s">
        <v>194</v>
      </c>
      <c r="AS76" t="s">
        <v>199</v>
      </c>
      <c r="AU76" t="s">
        <v>197</v>
      </c>
      <c r="AZ76" t="s">
        <v>194</v>
      </c>
      <c r="BA76" t="s">
        <v>200</v>
      </c>
      <c r="BB76" t="s">
        <v>201</v>
      </c>
      <c r="BD76" t="s">
        <v>200</v>
      </c>
      <c r="BE76" t="s">
        <v>229</v>
      </c>
      <c r="BF76" t="s">
        <v>197</v>
      </c>
      <c r="BG76" t="s">
        <v>230</v>
      </c>
      <c r="BH76" t="s">
        <v>299</v>
      </c>
      <c r="BJ76" t="s">
        <v>205</v>
      </c>
      <c r="BK76" t="s">
        <v>206</v>
      </c>
      <c r="BL76" t="s">
        <v>194</v>
      </c>
      <c r="BO76" t="s">
        <v>216</v>
      </c>
      <c r="BP76" t="s">
        <v>216</v>
      </c>
      <c r="BR76" t="s">
        <v>232</v>
      </c>
      <c r="BT76" t="s">
        <v>197</v>
      </c>
      <c r="BV76" t="s">
        <v>233</v>
      </c>
      <c r="CA76" t="s">
        <v>194</v>
      </c>
      <c r="CB76" t="s">
        <v>214</v>
      </c>
      <c r="CF76" t="s">
        <v>215</v>
      </c>
      <c r="CH76" t="s">
        <v>214</v>
      </c>
      <c r="CI76" t="s">
        <v>214</v>
      </c>
      <c r="CJ76" t="s">
        <v>214</v>
      </c>
      <c r="CP76" t="s">
        <v>214</v>
      </c>
      <c r="CS76" t="s">
        <v>216</v>
      </c>
      <c r="CV76" t="s">
        <v>214</v>
      </c>
      <c r="CW76" t="s">
        <v>214</v>
      </c>
      <c r="CX76" t="s">
        <v>217</v>
      </c>
      <c r="CY76" t="s">
        <v>214</v>
      </c>
      <c r="DA76" t="s">
        <v>218</v>
      </c>
    </row>
    <row r="77" spans="1:105" x14ac:dyDescent="0.3">
      <c r="A77">
        <v>1225958</v>
      </c>
      <c r="B77">
        <v>612265</v>
      </c>
      <c r="C77" t="str">
        <f>"081127551431"</f>
        <v>081127551431</v>
      </c>
      <c r="D77" t="s">
        <v>499</v>
      </c>
      <c r="E77" t="s">
        <v>500</v>
      </c>
      <c r="F77" t="s">
        <v>501</v>
      </c>
      <c r="G77" s="1">
        <v>39779</v>
      </c>
      <c r="I77" t="s">
        <v>187</v>
      </c>
      <c r="J77" t="s">
        <v>188</v>
      </c>
      <c r="K77" t="s">
        <v>373</v>
      </c>
      <c r="Y77" t="str">
        <f>"2014-09-01T00:00:00"</f>
        <v>2014-09-01T00:00:00</v>
      </c>
      <c r="Z77" t="str">
        <f>"№76"</f>
        <v>№76</v>
      </c>
      <c r="AA77" t="s">
        <v>224</v>
      </c>
      <c r="AC77" t="s">
        <v>225</v>
      </c>
      <c r="AD77" t="s">
        <v>226</v>
      </c>
      <c r="AE77" t="s">
        <v>227</v>
      </c>
      <c r="AF77" t="s">
        <v>194</v>
      </c>
      <c r="AH77" t="s">
        <v>195</v>
      </c>
      <c r="AI77">
        <v>2</v>
      </c>
      <c r="AJ77" t="s">
        <v>196</v>
      </c>
      <c r="AK77" t="s">
        <v>194</v>
      </c>
      <c r="AL77" t="s">
        <v>197</v>
      </c>
      <c r="AM77" t="s">
        <v>228</v>
      </c>
      <c r="AR77" t="s">
        <v>194</v>
      </c>
      <c r="AS77" t="s">
        <v>199</v>
      </c>
      <c r="AU77" t="s">
        <v>197</v>
      </c>
      <c r="AZ77" t="s">
        <v>194</v>
      </c>
      <c r="BA77" t="s">
        <v>200</v>
      </c>
      <c r="BB77" t="s">
        <v>201</v>
      </c>
      <c r="BD77" t="s">
        <v>200</v>
      </c>
      <c r="BE77" t="s">
        <v>229</v>
      </c>
      <c r="BF77" t="s">
        <v>197</v>
      </c>
      <c r="BG77" t="s">
        <v>238</v>
      </c>
      <c r="BH77">
        <v>4</v>
      </c>
      <c r="BJ77" t="s">
        <v>205</v>
      </c>
      <c r="BK77" t="s">
        <v>206</v>
      </c>
      <c r="BL77" t="s">
        <v>194</v>
      </c>
      <c r="BO77" t="s">
        <v>216</v>
      </c>
      <c r="BP77" t="s">
        <v>216</v>
      </c>
      <c r="BR77" t="s">
        <v>232</v>
      </c>
      <c r="BT77" t="s">
        <v>197</v>
      </c>
      <c r="BV77" t="s">
        <v>233</v>
      </c>
      <c r="CA77" t="s">
        <v>194</v>
      </c>
      <c r="CB77" t="s">
        <v>214</v>
      </c>
      <c r="CF77" t="s">
        <v>215</v>
      </c>
      <c r="CH77" t="s">
        <v>214</v>
      </c>
      <c r="CI77" t="s">
        <v>214</v>
      </c>
      <c r="CJ77" t="s">
        <v>214</v>
      </c>
      <c r="CP77" t="s">
        <v>214</v>
      </c>
      <c r="CS77" t="s">
        <v>216</v>
      </c>
      <c r="CV77" t="s">
        <v>214</v>
      </c>
      <c r="CW77" t="s">
        <v>214</v>
      </c>
      <c r="CX77" t="s">
        <v>217</v>
      </c>
      <c r="CY77" t="s">
        <v>214</v>
      </c>
      <c r="DA77" t="s">
        <v>218</v>
      </c>
    </row>
    <row r="78" spans="1:105" x14ac:dyDescent="0.3">
      <c r="A78">
        <v>1225972</v>
      </c>
      <c r="B78">
        <v>612335</v>
      </c>
      <c r="C78" t="str">
        <f>"080708550260"</f>
        <v>080708550260</v>
      </c>
      <c r="D78" t="s">
        <v>502</v>
      </c>
      <c r="E78" t="s">
        <v>503</v>
      </c>
      <c r="F78" t="s">
        <v>504</v>
      </c>
      <c r="G78" s="1">
        <v>39637</v>
      </c>
      <c r="I78" t="s">
        <v>187</v>
      </c>
      <c r="J78" t="s">
        <v>188</v>
      </c>
      <c r="K78" t="s">
        <v>189</v>
      </c>
      <c r="Y78" t="str">
        <f>"2015-09-01T00:00:00"</f>
        <v>2015-09-01T00:00:00</v>
      </c>
      <c r="Z78" t="str">
        <f>"№46"</f>
        <v>№46</v>
      </c>
      <c r="AA78" t="s">
        <v>224</v>
      </c>
      <c r="AB78" t="str">
        <f>"akm_arshalu_novoaleksandrovka@mail.ru"</f>
        <v>akm_arshalu_novoaleksandrovka@mail.ru</v>
      </c>
      <c r="AC78" t="s">
        <v>191</v>
      </c>
      <c r="AD78" t="s">
        <v>192</v>
      </c>
      <c r="AE78" t="s">
        <v>227</v>
      </c>
      <c r="AF78" t="s">
        <v>194</v>
      </c>
      <c r="AH78" t="s">
        <v>195</v>
      </c>
      <c r="AI78">
        <v>1</v>
      </c>
      <c r="AJ78" t="s">
        <v>196</v>
      </c>
      <c r="AK78" t="s">
        <v>194</v>
      </c>
      <c r="AL78" t="s">
        <v>197</v>
      </c>
      <c r="AM78" t="s">
        <v>198</v>
      </c>
      <c r="AQ78" t="str">
        <f>"2020-11-04T08:51:10"</f>
        <v>2020-11-04T08:51:10</v>
      </c>
      <c r="AR78" t="s">
        <v>194</v>
      </c>
      <c r="AS78" t="s">
        <v>199</v>
      </c>
      <c r="AU78" t="s">
        <v>197</v>
      </c>
      <c r="AZ78" t="s">
        <v>194</v>
      </c>
      <c r="BA78" t="s">
        <v>200</v>
      </c>
      <c r="BB78" t="s">
        <v>201</v>
      </c>
      <c r="BD78" t="s">
        <v>200</v>
      </c>
      <c r="BE78" t="s">
        <v>202</v>
      </c>
      <c r="BF78" t="s">
        <v>197</v>
      </c>
      <c r="BG78" t="s">
        <v>290</v>
      </c>
      <c r="BH78" t="s">
        <v>318</v>
      </c>
      <c r="BJ78" t="s">
        <v>205</v>
      </c>
      <c r="BK78" t="s">
        <v>206</v>
      </c>
      <c r="BL78" t="s">
        <v>194</v>
      </c>
      <c r="BO78" t="s">
        <v>200</v>
      </c>
      <c r="BP78" t="s">
        <v>200</v>
      </c>
      <c r="BR78" t="s">
        <v>246</v>
      </c>
      <c r="BS78" t="s">
        <v>208</v>
      </c>
      <c r="BT78" t="s">
        <v>197</v>
      </c>
      <c r="BV78" t="s">
        <v>233</v>
      </c>
      <c r="CA78" t="s">
        <v>194</v>
      </c>
      <c r="CB78" t="s">
        <v>214</v>
      </c>
      <c r="CF78" t="s">
        <v>215</v>
      </c>
      <c r="CH78" t="s">
        <v>214</v>
      </c>
      <c r="CI78" t="s">
        <v>214</v>
      </c>
      <c r="CJ78" t="s">
        <v>214</v>
      </c>
      <c r="CP78" t="s">
        <v>214</v>
      </c>
      <c r="CS78" t="s">
        <v>216</v>
      </c>
      <c r="CV78" t="s">
        <v>214</v>
      </c>
      <c r="CW78" t="s">
        <v>214</v>
      </c>
      <c r="CX78" t="s">
        <v>217</v>
      </c>
      <c r="CY78" t="s">
        <v>214</v>
      </c>
      <c r="DA78" t="s">
        <v>218</v>
      </c>
    </row>
    <row r="79" spans="1:105" x14ac:dyDescent="0.3">
      <c r="A79">
        <v>1225989</v>
      </c>
      <c r="B79">
        <v>612546</v>
      </c>
      <c r="C79" t="str">
        <f>"080728553798"</f>
        <v>080728553798</v>
      </c>
      <c r="D79" t="s">
        <v>505</v>
      </c>
      <c r="E79" t="s">
        <v>506</v>
      </c>
      <c r="F79" t="s">
        <v>435</v>
      </c>
      <c r="G79" s="1">
        <v>39657</v>
      </c>
      <c r="I79" t="s">
        <v>187</v>
      </c>
      <c r="J79" t="s">
        <v>188</v>
      </c>
      <c r="K79" t="s">
        <v>260</v>
      </c>
      <c r="Y79" t="str">
        <f>"2014-09-01T00:00:00"</f>
        <v>2014-09-01T00:00:00</v>
      </c>
      <c r="Z79" t="str">
        <f>"№76"</f>
        <v>№76</v>
      </c>
      <c r="AA79" t="s">
        <v>314</v>
      </c>
      <c r="AC79" t="s">
        <v>225</v>
      </c>
      <c r="AD79" t="s">
        <v>242</v>
      </c>
      <c r="AE79" t="s">
        <v>413</v>
      </c>
      <c r="AF79" t="s">
        <v>194</v>
      </c>
      <c r="AH79" t="s">
        <v>195</v>
      </c>
      <c r="AI79">
        <v>1</v>
      </c>
      <c r="AJ79" t="s">
        <v>196</v>
      </c>
      <c r="AK79" t="s">
        <v>194</v>
      </c>
      <c r="AL79" t="s">
        <v>197</v>
      </c>
      <c r="AM79" t="s">
        <v>198</v>
      </c>
      <c r="AR79" t="s">
        <v>214</v>
      </c>
      <c r="AU79" t="s">
        <v>197</v>
      </c>
      <c r="AZ79" t="s">
        <v>194</v>
      </c>
      <c r="BA79" t="s">
        <v>200</v>
      </c>
      <c r="BB79" t="s">
        <v>201</v>
      </c>
      <c r="BD79" t="s">
        <v>200</v>
      </c>
      <c r="BE79" t="s">
        <v>202</v>
      </c>
      <c r="BF79" t="s">
        <v>197</v>
      </c>
      <c r="BG79" t="s">
        <v>230</v>
      </c>
      <c r="BH79" t="s">
        <v>420</v>
      </c>
      <c r="BJ79" t="s">
        <v>205</v>
      </c>
      <c r="BK79" t="s">
        <v>206</v>
      </c>
      <c r="BL79" t="s">
        <v>194</v>
      </c>
      <c r="BO79" t="s">
        <v>216</v>
      </c>
      <c r="BP79" t="s">
        <v>216</v>
      </c>
      <c r="BR79" t="s">
        <v>246</v>
      </c>
      <c r="BS79" t="s">
        <v>208</v>
      </c>
      <c r="BT79" t="s">
        <v>197</v>
      </c>
      <c r="BV79" t="s">
        <v>415</v>
      </c>
      <c r="BW79" t="s">
        <v>416</v>
      </c>
      <c r="BX79" t="s">
        <v>211</v>
      </c>
      <c r="BY79" t="s">
        <v>212</v>
      </c>
      <c r="BZ79" t="s">
        <v>417</v>
      </c>
      <c r="CA79" t="s">
        <v>194</v>
      </c>
      <c r="CB79" t="s">
        <v>214</v>
      </c>
      <c r="CF79" t="s">
        <v>215</v>
      </c>
      <c r="CH79" t="s">
        <v>214</v>
      </c>
      <c r="CI79" t="s">
        <v>214</v>
      </c>
      <c r="CJ79" t="s">
        <v>214</v>
      </c>
      <c r="CP79" t="s">
        <v>214</v>
      </c>
      <c r="CS79" t="s">
        <v>216</v>
      </c>
      <c r="CV79" t="s">
        <v>214</v>
      </c>
      <c r="CW79" t="s">
        <v>214</v>
      </c>
      <c r="CX79" t="s">
        <v>217</v>
      </c>
      <c r="CY79" t="s">
        <v>214</v>
      </c>
      <c r="DA79" t="s">
        <v>218</v>
      </c>
    </row>
    <row r="80" spans="1:105" x14ac:dyDescent="0.3">
      <c r="A80">
        <v>1225991</v>
      </c>
      <c r="B80">
        <v>931742</v>
      </c>
      <c r="C80" t="str">
        <f>"080120553853"</f>
        <v>080120553853</v>
      </c>
      <c r="D80" t="s">
        <v>507</v>
      </c>
      <c r="E80" t="s">
        <v>508</v>
      </c>
      <c r="F80" t="s">
        <v>509</v>
      </c>
      <c r="G80" s="1">
        <v>39467</v>
      </c>
      <c r="I80" t="s">
        <v>187</v>
      </c>
      <c r="J80" t="s">
        <v>188</v>
      </c>
      <c r="K80" t="s">
        <v>189</v>
      </c>
      <c r="Y80" t="str">
        <f>"2017-08-07T00:00:00"</f>
        <v>2017-08-07T00:00:00</v>
      </c>
      <c r="Z80" t="str">
        <f>"№25"</f>
        <v>№25</v>
      </c>
      <c r="AA80" t="s">
        <v>224</v>
      </c>
      <c r="AB80" t="str">
        <f>"akm_arshalu_novoaleksandrovka@mail.ru"</f>
        <v>akm_arshalu_novoaleksandrovka@mail.ru</v>
      </c>
      <c r="AC80" t="s">
        <v>237</v>
      </c>
      <c r="AD80" t="s">
        <v>192</v>
      </c>
      <c r="AE80" t="s">
        <v>193</v>
      </c>
      <c r="AF80" t="s">
        <v>194</v>
      </c>
      <c r="AH80" t="s">
        <v>195</v>
      </c>
      <c r="AI80">
        <v>2</v>
      </c>
      <c r="AJ80" t="s">
        <v>196</v>
      </c>
      <c r="AK80" t="s">
        <v>194</v>
      </c>
      <c r="AL80" t="s">
        <v>197</v>
      </c>
      <c r="AM80" t="s">
        <v>228</v>
      </c>
      <c r="AR80" t="s">
        <v>194</v>
      </c>
      <c r="AS80" t="s">
        <v>199</v>
      </c>
      <c r="AU80" t="s">
        <v>197</v>
      </c>
      <c r="AZ80" t="s">
        <v>194</v>
      </c>
      <c r="BA80" t="s">
        <v>200</v>
      </c>
      <c r="BB80" t="s">
        <v>201</v>
      </c>
      <c r="BD80" t="s">
        <v>200</v>
      </c>
      <c r="BE80" t="s">
        <v>229</v>
      </c>
      <c r="BF80" t="s">
        <v>197</v>
      </c>
      <c r="BG80" t="s">
        <v>290</v>
      </c>
      <c r="BH80" t="s">
        <v>510</v>
      </c>
      <c r="BJ80" t="s">
        <v>205</v>
      </c>
      <c r="BK80" t="s">
        <v>206</v>
      </c>
      <c r="BL80" t="s">
        <v>194</v>
      </c>
      <c r="BO80" t="s">
        <v>200</v>
      </c>
      <c r="BP80" t="s">
        <v>200</v>
      </c>
      <c r="BR80" t="s">
        <v>232</v>
      </c>
      <c r="BT80" t="s">
        <v>197</v>
      </c>
      <c r="BV80" t="s">
        <v>233</v>
      </c>
      <c r="CA80" t="s">
        <v>194</v>
      </c>
      <c r="CB80" t="s">
        <v>214</v>
      </c>
      <c r="CF80" t="s">
        <v>215</v>
      </c>
      <c r="CH80" t="s">
        <v>214</v>
      </c>
      <c r="CI80" t="s">
        <v>214</v>
      </c>
      <c r="CJ80" t="s">
        <v>214</v>
      </c>
      <c r="CP80" t="s">
        <v>214</v>
      </c>
      <c r="CS80" t="s">
        <v>216</v>
      </c>
      <c r="CV80" t="s">
        <v>214</v>
      </c>
      <c r="CW80" t="s">
        <v>214</v>
      </c>
      <c r="CX80" t="s">
        <v>217</v>
      </c>
      <c r="CY80" t="s">
        <v>214</v>
      </c>
      <c r="DA80" t="s">
        <v>218</v>
      </c>
    </row>
    <row r="81" spans="1:105" x14ac:dyDescent="0.3">
      <c r="A81">
        <v>1226013</v>
      </c>
      <c r="B81">
        <v>612637</v>
      </c>
      <c r="C81" t="str">
        <f>"090615551532"</f>
        <v>090615551532</v>
      </c>
      <c r="D81" t="s">
        <v>511</v>
      </c>
      <c r="E81" t="s">
        <v>512</v>
      </c>
      <c r="F81" t="s">
        <v>316</v>
      </c>
      <c r="G81" s="1">
        <v>39979</v>
      </c>
      <c r="I81" t="s">
        <v>187</v>
      </c>
      <c r="J81" t="s">
        <v>188</v>
      </c>
      <c r="K81" t="s">
        <v>223</v>
      </c>
      <c r="Y81" t="str">
        <f>"2015-09-01T00:00:00"</f>
        <v>2015-09-01T00:00:00</v>
      </c>
      <c r="Z81" t="str">
        <f>"№46"</f>
        <v>№46</v>
      </c>
      <c r="AA81" t="s">
        <v>224</v>
      </c>
      <c r="AC81" t="s">
        <v>225</v>
      </c>
      <c r="AD81" t="s">
        <v>242</v>
      </c>
      <c r="AE81" t="s">
        <v>227</v>
      </c>
      <c r="AF81" t="s">
        <v>194</v>
      </c>
      <c r="AH81" t="s">
        <v>195</v>
      </c>
      <c r="AI81">
        <v>1</v>
      </c>
      <c r="AJ81" t="s">
        <v>196</v>
      </c>
      <c r="AK81" t="s">
        <v>194</v>
      </c>
      <c r="AL81" t="s">
        <v>197</v>
      </c>
      <c r="AM81" t="s">
        <v>228</v>
      </c>
      <c r="AR81" t="s">
        <v>194</v>
      </c>
      <c r="AS81" t="s">
        <v>199</v>
      </c>
      <c r="AU81" t="s">
        <v>197</v>
      </c>
      <c r="AZ81" t="s">
        <v>194</v>
      </c>
      <c r="BA81" t="s">
        <v>200</v>
      </c>
      <c r="BB81" t="s">
        <v>201</v>
      </c>
      <c r="BD81" t="s">
        <v>200</v>
      </c>
      <c r="BE81" t="s">
        <v>229</v>
      </c>
      <c r="BF81" t="s">
        <v>197</v>
      </c>
      <c r="BG81" t="s">
        <v>230</v>
      </c>
      <c r="BH81" t="s">
        <v>231</v>
      </c>
      <c r="BJ81" t="s">
        <v>205</v>
      </c>
      <c r="BK81" t="s">
        <v>206</v>
      </c>
      <c r="BL81" t="s">
        <v>194</v>
      </c>
      <c r="BO81" t="s">
        <v>216</v>
      </c>
      <c r="BP81" t="s">
        <v>216</v>
      </c>
      <c r="BR81" t="s">
        <v>232</v>
      </c>
      <c r="BT81" t="s">
        <v>197</v>
      </c>
      <c r="BV81" t="s">
        <v>233</v>
      </c>
      <c r="CA81" t="s">
        <v>194</v>
      </c>
      <c r="CB81" t="s">
        <v>214</v>
      </c>
      <c r="CF81" t="s">
        <v>215</v>
      </c>
      <c r="CH81" t="s">
        <v>214</v>
      </c>
      <c r="CI81" t="s">
        <v>214</v>
      </c>
      <c r="CJ81" t="s">
        <v>214</v>
      </c>
      <c r="CP81" t="s">
        <v>214</v>
      </c>
      <c r="CS81" t="s">
        <v>216</v>
      </c>
      <c r="CV81" t="s">
        <v>214</v>
      </c>
      <c r="CW81" t="s">
        <v>214</v>
      </c>
      <c r="CX81" t="s">
        <v>217</v>
      </c>
      <c r="CY81" t="s">
        <v>214</v>
      </c>
      <c r="DA81" t="s">
        <v>218</v>
      </c>
    </row>
    <row r="82" spans="1:105" x14ac:dyDescent="0.3">
      <c r="A82">
        <v>1226033</v>
      </c>
      <c r="B82">
        <v>612663</v>
      </c>
      <c r="C82" t="str">
        <f>"090818551873"</f>
        <v>090818551873</v>
      </c>
      <c r="D82" t="s">
        <v>513</v>
      </c>
      <c r="E82" t="s">
        <v>514</v>
      </c>
      <c r="F82" t="s">
        <v>515</v>
      </c>
      <c r="G82" s="1">
        <v>40043</v>
      </c>
      <c r="I82" t="s">
        <v>187</v>
      </c>
      <c r="J82" t="s">
        <v>188</v>
      </c>
      <c r="K82" t="s">
        <v>338</v>
      </c>
      <c r="Y82" t="str">
        <f>"2014-09-01T00:00:00"</f>
        <v>2014-09-01T00:00:00</v>
      </c>
      <c r="Z82" t="str">
        <f>"№76"</f>
        <v>№76</v>
      </c>
      <c r="AA82" t="s">
        <v>224</v>
      </c>
      <c r="AC82" t="s">
        <v>237</v>
      </c>
      <c r="AD82" t="s">
        <v>242</v>
      </c>
      <c r="AE82" t="s">
        <v>227</v>
      </c>
      <c r="AF82" t="s">
        <v>194</v>
      </c>
      <c r="AH82" t="s">
        <v>195</v>
      </c>
      <c r="AI82">
        <v>1</v>
      </c>
      <c r="AJ82" t="s">
        <v>196</v>
      </c>
      <c r="AK82" t="s">
        <v>194</v>
      </c>
      <c r="AL82" t="s">
        <v>197</v>
      </c>
      <c r="AM82" t="s">
        <v>228</v>
      </c>
      <c r="AR82" t="s">
        <v>194</v>
      </c>
      <c r="AS82" t="s">
        <v>199</v>
      </c>
      <c r="AU82" t="s">
        <v>197</v>
      </c>
      <c r="AZ82" t="s">
        <v>194</v>
      </c>
      <c r="BA82" t="s">
        <v>200</v>
      </c>
      <c r="BB82" t="s">
        <v>201</v>
      </c>
      <c r="BC82" t="s">
        <v>200</v>
      </c>
      <c r="BE82" t="s">
        <v>202</v>
      </c>
      <c r="BF82" t="s">
        <v>197</v>
      </c>
      <c r="BG82" t="s">
        <v>230</v>
      </c>
      <c r="BH82" t="s">
        <v>516</v>
      </c>
      <c r="BJ82" t="s">
        <v>205</v>
      </c>
      <c r="BK82" t="s">
        <v>206</v>
      </c>
      <c r="BL82" t="s">
        <v>194</v>
      </c>
      <c r="BO82" t="s">
        <v>216</v>
      </c>
      <c r="BP82" t="s">
        <v>216</v>
      </c>
      <c r="BR82" t="s">
        <v>232</v>
      </c>
      <c r="BT82" t="s">
        <v>197</v>
      </c>
      <c r="BV82" t="s">
        <v>233</v>
      </c>
      <c r="CA82" t="s">
        <v>194</v>
      </c>
      <c r="CB82" t="s">
        <v>214</v>
      </c>
      <c r="CF82" t="s">
        <v>215</v>
      </c>
      <c r="CH82" t="s">
        <v>214</v>
      </c>
      <c r="CI82" t="s">
        <v>214</v>
      </c>
      <c r="CJ82" t="s">
        <v>214</v>
      </c>
      <c r="CP82" t="s">
        <v>214</v>
      </c>
      <c r="CS82" t="s">
        <v>216</v>
      </c>
      <c r="CV82" t="s">
        <v>214</v>
      </c>
      <c r="CW82" t="s">
        <v>214</v>
      </c>
      <c r="CX82" t="s">
        <v>217</v>
      </c>
      <c r="CY82" t="s">
        <v>214</v>
      </c>
      <c r="DA82" t="s">
        <v>218</v>
      </c>
    </row>
    <row r="83" spans="1:105" x14ac:dyDescent="0.3">
      <c r="A83">
        <v>1226063</v>
      </c>
      <c r="B83">
        <v>612733</v>
      </c>
      <c r="C83" t="str">
        <f>"090409552015"</f>
        <v>090409552015</v>
      </c>
      <c r="D83" t="s">
        <v>517</v>
      </c>
      <c r="E83" t="s">
        <v>343</v>
      </c>
      <c r="F83" t="s">
        <v>518</v>
      </c>
      <c r="G83" s="1">
        <v>39912</v>
      </c>
      <c r="I83" t="s">
        <v>187</v>
      </c>
      <c r="J83" t="s">
        <v>188</v>
      </c>
      <c r="K83" t="s">
        <v>298</v>
      </c>
      <c r="Y83" t="str">
        <f>"2015-09-01T00:00:00"</f>
        <v>2015-09-01T00:00:00</v>
      </c>
      <c r="Z83" t="str">
        <f>"№46"</f>
        <v>№46</v>
      </c>
      <c r="AA83" t="s">
        <v>224</v>
      </c>
      <c r="AC83" t="s">
        <v>225</v>
      </c>
      <c r="AD83" t="s">
        <v>242</v>
      </c>
      <c r="AE83" t="s">
        <v>193</v>
      </c>
      <c r="AF83" t="s">
        <v>194</v>
      </c>
      <c r="AH83" t="s">
        <v>195</v>
      </c>
      <c r="AI83">
        <v>1</v>
      </c>
      <c r="AJ83" t="s">
        <v>196</v>
      </c>
      <c r="AK83" t="s">
        <v>194</v>
      </c>
      <c r="AL83" t="s">
        <v>197</v>
      </c>
      <c r="AM83" t="s">
        <v>198</v>
      </c>
      <c r="AR83" t="s">
        <v>214</v>
      </c>
      <c r="AU83" t="s">
        <v>197</v>
      </c>
      <c r="AZ83" t="s">
        <v>194</v>
      </c>
      <c r="BA83" t="s">
        <v>200</v>
      </c>
      <c r="BB83" t="s">
        <v>201</v>
      </c>
      <c r="BC83" t="s">
        <v>317</v>
      </c>
      <c r="BE83" t="s">
        <v>202</v>
      </c>
      <c r="BF83" t="s">
        <v>197</v>
      </c>
      <c r="BG83" t="s">
        <v>230</v>
      </c>
      <c r="BH83" t="s">
        <v>275</v>
      </c>
      <c r="BJ83" t="s">
        <v>205</v>
      </c>
      <c r="BK83" t="s">
        <v>206</v>
      </c>
      <c r="BL83" t="s">
        <v>194</v>
      </c>
      <c r="BO83" t="s">
        <v>216</v>
      </c>
      <c r="BP83" t="s">
        <v>216</v>
      </c>
      <c r="BR83" t="s">
        <v>232</v>
      </c>
      <c r="BT83" t="s">
        <v>197</v>
      </c>
      <c r="BV83" t="s">
        <v>233</v>
      </c>
      <c r="CA83" t="s">
        <v>194</v>
      </c>
      <c r="CB83" t="s">
        <v>214</v>
      </c>
      <c r="CF83" t="s">
        <v>215</v>
      </c>
      <c r="CH83" t="s">
        <v>214</v>
      </c>
      <c r="CI83" t="s">
        <v>214</v>
      </c>
      <c r="CJ83" t="s">
        <v>194</v>
      </c>
      <c r="CP83" t="s">
        <v>214</v>
      </c>
      <c r="CS83" t="s">
        <v>216</v>
      </c>
      <c r="CV83" t="s">
        <v>214</v>
      </c>
      <c r="CW83" t="s">
        <v>214</v>
      </c>
      <c r="CX83" t="s">
        <v>217</v>
      </c>
      <c r="CY83" t="s">
        <v>214</v>
      </c>
      <c r="DA83" t="s">
        <v>341</v>
      </c>
    </row>
    <row r="84" spans="1:105" x14ac:dyDescent="0.3">
      <c r="A84">
        <v>1226100</v>
      </c>
      <c r="B84">
        <v>612799</v>
      </c>
      <c r="C84" t="str">
        <f>"081014650504"</f>
        <v>081014650504</v>
      </c>
      <c r="D84" t="s">
        <v>519</v>
      </c>
      <c r="E84" t="s">
        <v>520</v>
      </c>
      <c r="F84" t="s">
        <v>521</v>
      </c>
      <c r="G84" s="1">
        <v>39735</v>
      </c>
      <c r="I84" t="s">
        <v>222</v>
      </c>
      <c r="J84" t="s">
        <v>188</v>
      </c>
      <c r="K84" t="s">
        <v>189</v>
      </c>
      <c r="Y84" t="str">
        <f>"2014-09-01T00:00:00"</f>
        <v>2014-09-01T00:00:00</v>
      </c>
      <c r="Z84" t="str">
        <f>"№76"</f>
        <v>№76</v>
      </c>
      <c r="AA84" t="s">
        <v>224</v>
      </c>
      <c r="AC84" t="s">
        <v>225</v>
      </c>
      <c r="AD84" t="s">
        <v>226</v>
      </c>
      <c r="AE84" t="s">
        <v>227</v>
      </c>
      <c r="AF84" t="s">
        <v>194</v>
      </c>
      <c r="AH84" t="s">
        <v>195</v>
      </c>
      <c r="AI84">
        <v>2</v>
      </c>
      <c r="AJ84" t="s">
        <v>196</v>
      </c>
      <c r="AK84" t="s">
        <v>194</v>
      </c>
      <c r="AL84" t="s">
        <v>197</v>
      </c>
      <c r="AM84" t="s">
        <v>198</v>
      </c>
      <c r="AQ84" t="str">
        <f>"2020-11-04T10:08:02"</f>
        <v>2020-11-04T10:08:02</v>
      </c>
      <c r="AR84" t="s">
        <v>194</v>
      </c>
      <c r="AS84" t="s">
        <v>199</v>
      </c>
      <c r="AU84" t="s">
        <v>197</v>
      </c>
      <c r="AZ84" t="s">
        <v>194</v>
      </c>
      <c r="BA84" t="s">
        <v>200</v>
      </c>
      <c r="BB84" t="s">
        <v>201</v>
      </c>
      <c r="BD84" t="s">
        <v>200</v>
      </c>
      <c r="BE84" t="s">
        <v>244</v>
      </c>
      <c r="BF84" t="s">
        <v>197</v>
      </c>
      <c r="BG84" t="s">
        <v>238</v>
      </c>
      <c r="BH84">
        <v>5</v>
      </c>
      <c r="BJ84" t="s">
        <v>205</v>
      </c>
      <c r="BK84" t="s">
        <v>206</v>
      </c>
      <c r="BL84" t="s">
        <v>194</v>
      </c>
      <c r="BO84" t="s">
        <v>200</v>
      </c>
      <c r="BP84" t="s">
        <v>200</v>
      </c>
      <c r="BR84" t="s">
        <v>232</v>
      </c>
      <c r="BT84" t="s">
        <v>197</v>
      </c>
      <c r="BV84" t="s">
        <v>233</v>
      </c>
      <c r="CA84" t="s">
        <v>194</v>
      </c>
      <c r="CB84" t="s">
        <v>214</v>
      </c>
      <c r="CF84" t="s">
        <v>215</v>
      </c>
      <c r="CH84" t="s">
        <v>214</v>
      </c>
      <c r="CI84" t="s">
        <v>214</v>
      </c>
      <c r="CJ84" t="s">
        <v>214</v>
      </c>
      <c r="CP84" t="s">
        <v>214</v>
      </c>
      <c r="CS84" t="s">
        <v>216</v>
      </c>
      <c r="CV84" t="s">
        <v>214</v>
      </c>
      <c r="CW84" t="s">
        <v>214</v>
      </c>
      <c r="CX84" t="s">
        <v>217</v>
      </c>
      <c r="CY84" t="s">
        <v>214</v>
      </c>
      <c r="DA84" t="s">
        <v>218</v>
      </c>
    </row>
    <row r="85" spans="1:105" x14ac:dyDescent="0.3">
      <c r="A85">
        <v>1226169</v>
      </c>
      <c r="B85">
        <v>931853</v>
      </c>
      <c r="C85" t="str">
        <f>"080806550451"</f>
        <v>080806550451</v>
      </c>
      <c r="D85" t="s">
        <v>522</v>
      </c>
      <c r="E85" t="s">
        <v>523</v>
      </c>
      <c r="F85" t="s">
        <v>524</v>
      </c>
      <c r="G85" s="1">
        <v>39666</v>
      </c>
      <c r="I85" t="s">
        <v>187</v>
      </c>
      <c r="J85" t="s">
        <v>188</v>
      </c>
      <c r="K85" t="s">
        <v>189</v>
      </c>
      <c r="Y85" t="str">
        <f>"2017-08-29T00:00:00"</f>
        <v>2017-08-29T00:00:00</v>
      </c>
      <c r="Z85" t="str">
        <f>"№28"</f>
        <v>№28</v>
      </c>
      <c r="AA85" t="s">
        <v>224</v>
      </c>
      <c r="AC85" t="s">
        <v>237</v>
      </c>
      <c r="AD85" t="s">
        <v>226</v>
      </c>
      <c r="AE85" t="s">
        <v>227</v>
      </c>
      <c r="AF85" t="s">
        <v>194</v>
      </c>
      <c r="AH85" t="s">
        <v>195</v>
      </c>
      <c r="AI85">
        <v>2</v>
      </c>
      <c r="AJ85" t="s">
        <v>196</v>
      </c>
      <c r="AK85" t="s">
        <v>194</v>
      </c>
      <c r="AL85" t="s">
        <v>197</v>
      </c>
      <c r="AM85" t="s">
        <v>228</v>
      </c>
      <c r="AR85" t="s">
        <v>194</v>
      </c>
      <c r="AS85" t="s">
        <v>199</v>
      </c>
      <c r="AU85" t="s">
        <v>197</v>
      </c>
      <c r="AZ85" t="s">
        <v>194</v>
      </c>
      <c r="BA85" t="s">
        <v>200</v>
      </c>
      <c r="BB85" t="s">
        <v>201</v>
      </c>
      <c r="BD85" t="s">
        <v>200</v>
      </c>
      <c r="BE85" t="s">
        <v>229</v>
      </c>
      <c r="BF85" t="s">
        <v>197</v>
      </c>
      <c r="BG85" t="s">
        <v>238</v>
      </c>
      <c r="BH85">
        <v>4</v>
      </c>
      <c r="BJ85" t="s">
        <v>205</v>
      </c>
      <c r="BK85" t="s">
        <v>206</v>
      </c>
      <c r="BL85" t="s">
        <v>214</v>
      </c>
      <c r="BO85" t="s">
        <v>200</v>
      </c>
      <c r="BP85" t="s">
        <v>200</v>
      </c>
      <c r="BR85" t="s">
        <v>246</v>
      </c>
      <c r="BS85" t="s">
        <v>208</v>
      </c>
      <c r="BT85" t="s">
        <v>197</v>
      </c>
      <c r="BV85" t="s">
        <v>233</v>
      </c>
      <c r="CA85" t="s">
        <v>194</v>
      </c>
      <c r="CB85" t="s">
        <v>214</v>
      </c>
      <c r="CF85" t="s">
        <v>215</v>
      </c>
      <c r="CH85" t="s">
        <v>214</v>
      </c>
      <c r="CI85" t="s">
        <v>214</v>
      </c>
      <c r="CJ85" t="s">
        <v>214</v>
      </c>
      <c r="CP85" t="s">
        <v>214</v>
      </c>
      <c r="CS85" t="s">
        <v>216</v>
      </c>
      <c r="CV85" t="s">
        <v>214</v>
      </c>
      <c r="CW85" t="s">
        <v>214</v>
      </c>
      <c r="CX85" t="s">
        <v>217</v>
      </c>
      <c r="CY85" t="s">
        <v>214</v>
      </c>
      <c r="DA85" t="s">
        <v>218</v>
      </c>
    </row>
    <row r="86" spans="1:105" x14ac:dyDescent="0.3">
      <c r="A86">
        <v>1226226</v>
      </c>
      <c r="B86">
        <v>613505</v>
      </c>
      <c r="C86" t="str">
        <f>"100417653850"</f>
        <v>100417653850</v>
      </c>
      <c r="D86" t="s">
        <v>525</v>
      </c>
      <c r="E86" t="s">
        <v>267</v>
      </c>
      <c r="F86" t="s">
        <v>236</v>
      </c>
      <c r="G86" s="1">
        <v>40285</v>
      </c>
      <c r="I86" t="s">
        <v>222</v>
      </c>
      <c r="J86" t="s">
        <v>188</v>
      </c>
      <c r="K86" t="s">
        <v>223</v>
      </c>
      <c r="Y86" t="str">
        <f>"2016-08-29T00:00:00"</f>
        <v>2016-08-29T00:00:00</v>
      </c>
      <c r="Z86" t="str">
        <f>"№39"</f>
        <v>№39</v>
      </c>
      <c r="AA86" t="s">
        <v>190</v>
      </c>
      <c r="AC86" t="s">
        <v>237</v>
      </c>
      <c r="AD86" t="s">
        <v>242</v>
      </c>
      <c r="AE86" t="s">
        <v>413</v>
      </c>
      <c r="AF86" t="s">
        <v>194</v>
      </c>
      <c r="AH86" t="s">
        <v>195</v>
      </c>
      <c r="AI86">
        <v>1</v>
      </c>
      <c r="AJ86" t="s">
        <v>196</v>
      </c>
      <c r="AK86" t="s">
        <v>194</v>
      </c>
      <c r="AL86" t="s">
        <v>197</v>
      </c>
      <c r="AM86" t="s">
        <v>198</v>
      </c>
      <c r="AR86" t="s">
        <v>194</v>
      </c>
      <c r="AS86" t="s">
        <v>199</v>
      </c>
      <c r="AU86" t="s">
        <v>197</v>
      </c>
      <c r="AZ86" t="s">
        <v>194</v>
      </c>
      <c r="BA86" t="s">
        <v>200</v>
      </c>
      <c r="BB86" t="s">
        <v>201</v>
      </c>
      <c r="BD86" t="s">
        <v>200</v>
      </c>
      <c r="BE86" t="s">
        <v>202</v>
      </c>
      <c r="BF86" t="s">
        <v>197</v>
      </c>
      <c r="BG86" t="s">
        <v>230</v>
      </c>
      <c r="BH86" t="s">
        <v>263</v>
      </c>
      <c r="BJ86" t="s">
        <v>205</v>
      </c>
      <c r="BK86" t="s">
        <v>206</v>
      </c>
      <c r="BL86" t="s">
        <v>194</v>
      </c>
      <c r="BO86" t="s">
        <v>216</v>
      </c>
      <c r="BP86" t="s">
        <v>216</v>
      </c>
      <c r="BR86" t="s">
        <v>232</v>
      </c>
      <c r="BT86" t="s">
        <v>197</v>
      </c>
      <c r="BV86" t="s">
        <v>233</v>
      </c>
      <c r="CA86" t="s">
        <v>194</v>
      </c>
      <c r="CB86" t="s">
        <v>214</v>
      </c>
      <c r="CF86" t="s">
        <v>215</v>
      </c>
      <c r="CH86" t="s">
        <v>214</v>
      </c>
      <c r="CI86" t="s">
        <v>214</v>
      </c>
      <c r="CJ86" t="s">
        <v>214</v>
      </c>
      <c r="CP86" t="s">
        <v>214</v>
      </c>
      <c r="CS86" t="s">
        <v>216</v>
      </c>
      <c r="CV86" t="s">
        <v>214</v>
      </c>
      <c r="CW86" t="s">
        <v>214</v>
      </c>
      <c r="CX86" t="s">
        <v>217</v>
      </c>
      <c r="CY86" t="s">
        <v>214</v>
      </c>
      <c r="DA86" t="s">
        <v>218</v>
      </c>
    </row>
    <row r="87" spans="1:105" x14ac:dyDescent="0.3">
      <c r="A87">
        <v>1226260</v>
      </c>
      <c r="B87">
        <v>931908</v>
      </c>
      <c r="C87" t="str">
        <f>"080716652396"</f>
        <v>080716652396</v>
      </c>
      <c r="D87" t="s">
        <v>526</v>
      </c>
      <c r="E87" t="s">
        <v>293</v>
      </c>
      <c r="F87" t="s">
        <v>527</v>
      </c>
      <c r="G87" s="1">
        <v>39645</v>
      </c>
      <c r="I87" t="s">
        <v>222</v>
      </c>
      <c r="J87" t="s">
        <v>188</v>
      </c>
      <c r="K87" t="s">
        <v>189</v>
      </c>
      <c r="Y87" t="str">
        <f>"2017-08-29T00:00:00"</f>
        <v>2017-08-29T00:00:00</v>
      </c>
      <c r="Z87" t="str">
        <f>"№28"</f>
        <v>№28</v>
      </c>
      <c r="AA87" t="s">
        <v>224</v>
      </c>
      <c r="AC87" t="s">
        <v>237</v>
      </c>
      <c r="AD87" t="s">
        <v>226</v>
      </c>
      <c r="AE87" t="s">
        <v>193</v>
      </c>
      <c r="AF87" t="s">
        <v>194</v>
      </c>
      <c r="AH87" t="s">
        <v>195</v>
      </c>
      <c r="AI87">
        <v>1</v>
      </c>
      <c r="AJ87" t="s">
        <v>196</v>
      </c>
      <c r="AK87" t="s">
        <v>194</v>
      </c>
      <c r="AL87" t="s">
        <v>197</v>
      </c>
      <c r="AM87" t="s">
        <v>198</v>
      </c>
      <c r="AQ87" t="str">
        <f>"2020-11-11T13:35:55"</f>
        <v>2020-11-11T13:35:55</v>
      </c>
      <c r="AR87" t="s">
        <v>194</v>
      </c>
      <c r="AS87" t="s">
        <v>199</v>
      </c>
      <c r="AU87" t="s">
        <v>197</v>
      </c>
      <c r="AZ87" t="s">
        <v>194</v>
      </c>
      <c r="BA87" t="s">
        <v>200</v>
      </c>
      <c r="BB87" t="s">
        <v>201</v>
      </c>
      <c r="BD87" t="s">
        <v>200</v>
      </c>
      <c r="BE87" t="s">
        <v>229</v>
      </c>
      <c r="BF87" t="s">
        <v>197</v>
      </c>
      <c r="BG87" t="s">
        <v>238</v>
      </c>
      <c r="BH87">
        <v>4</v>
      </c>
      <c r="BJ87" t="s">
        <v>205</v>
      </c>
      <c r="BK87" t="s">
        <v>206</v>
      </c>
      <c r="BL87" t="s">
        <v>194</v>
      </c>
      <c r="BO87" t="s">
        <v>200</v>
      </c>
      <c r="BP87" t="s">
        <v>200</v>
      </c>
      <c r="BR87" t="s">
        <v>232</v>
      </c>
      <c r="BT87" t="s">
        <v>197</v>
      </c>
      <c r="BV87" t="s">
        <v>233</v>
      </c>
      <c r="CA87" t="s">
        <v>194</v>
      </c>
      <c r="CB87" t="s">
        <v>214</v>
      </c>
      <c r="CF87" t="s">
        <v>215</v>
      </c>
      <c r="CH87" t="s">
        <v>214</v>
      </c>
      <c r="CI87" t="s">
        <v>214</v>
      </c>
      <c r="CJ87" t="s">
        <v>214</v>
      </c>
      <c r="CP87" t="s">
        <v>214</v>
      </c>
      <c r="CS87" t="s">
        <v>216</v>
      </c>
      <c r="CV87" t="s">
        <v>214</v>
      </c>
      <c r="CW87" t="s">
        <v>214</v>
      </c>
      <c r="CX87" t="s">
        <v>217</v>
      </c>
      <c r="CY87" t="s">
        <v>214</v>
      </c>
      <c r="DA87" t="s">
        <v>218</v>
      </c>
    </row>
    <row r="88" spans="1:105" x14ac:dyDescent="0.3">
      <c r="A88">
        <v>1226292</v>
      </c>
      <c r="B88">
        <v>931931</v>
      </c>
      <c r="C88" t="str">
        <f>"090730551637"</f>
        <v>090730551637</v>
      </c>
      <c r="D88" t="s">
        <v>528</v>
      </c>
      <c r="E88" t="s">
        <v>434</v>
      </c>
      <c r="F88" t="s">
        <v>529</v>
      </c>
      <c r="G88" s="1">
        <v>40024</v>
      </c>
      <c r="I88" t="s">
        <v>187</v>
      </c>
      <c r="J88" t="s">
        <v>188</v>
      </c>
      <c r="K88" t="s">
        <v>530</v>
      </c>
      <c r="Y88" t="str">
        <f>"2016-08-29T00:00:00"</f>
        <v>2016-08-29T00:00:00</v>
      </c>
      <c r="Z88" t="str">
        <f>"№39"</f>
        <v>№39</v>
      </c>
      <c r="AA88" t="s">
        <v>224</v>
      </c>
      <c r="AC88" t="s">
        <v>225</v>
      </c>
      <c r="AD88" t="s">
        <v>242</v>
      </c>
      <c r="AE88" t="s">
        <v>227</v>
      </c>
      <c r="AF88" t="s">
        <v>194</v>
      </c>
      <c r="AH88" t="s">
        <v>195</v>
      </c>
      <c r="AI88">
        <v>1</v>
      </c>
      <c r="AJ88" t="s">
        <v>196</v>
      </c>
      <c r="AK88" t="s">
        <v>194</v>
      </c>
      <c r="AL88" t="s">
        <v>197</v>
      </c>
      <c r="AM88" t="s">
        <v>228</v>
      </c>
      <c r="AR88" t="s">
        <v>194</v>
      </c>
      <c r="AS88" t="s">
        <v>199</v>
      </c>
      <c r="AU88" t="s">
        <v>197</v>
      </c>
      <c r="AZ88" t="s">
        <v>194</v>
      </c>
      <c r="BA88" t="s">
        <v>200</v>
      </c>
      <c r="BB88" t="s">
        <v>201</v>
      </c>
      <c r="BD88" t="s">
        <v>200</v>
      </c>
      <c r="BE88" t="s">
        <v>229</v>
      </c>
      <c r="BF88" t="s">
        <v>197</v>
      </c>
      <c r="BG88" t="s">
        <v>230</v>
      </c>
      <c r="BH88" t="s">
        <v>263</v>
      </c>
      <c r="BJ88" t="s">
        <v>205</v>
      </c>
      <c r="BK88" t="s">
        <v>206</v>
      </c>
      <c r="BL88" t="s">
        <v>194</v>
      </c>
      <c r="BO88" t="s">
        <v>216</v>
      </c>
      <c r="BP88" t="s">
        <v>216</v>
      </c>
      <c r="BR88" t="s">
        <v>232</v>
      </c>
      <c r="BT88" t="s">
        <v>197</v>
      </c>
      <c r="BV88" t="s">
        <v>233</v>
      </c>
      <c r="CA88" t="s">
        <v>194</v>
      </c>
      <c r="CB88" t="s">
        <v>214</v>
      </c>
      <c r="CF88" t="s">
        <v>215</v>
      </c>
      <c r="CH88" t="s">
        <v>214</v>
      </c>
      <c r="CI88" t="s">
        <v>214</v>
      </c>
      <c r="CJ88" t="s">
        <v>214</v>
      </c>
      <c r="CP88" t="s">
        <v>214</v>
      </c>
      <c r="CS88" t="s">
        <v>216</v>
      </c>
      <c r="CV88" t="s">
        <v>214</v>
      </c>
      <c r="CW88" t="s">
        <v>214</v>
      </c>
      <c r="CX88" t="s">
        <v>217</v>
      </c>
      <c r="CY88" t="s">
        <v>214</v>
      </c>
      <c r="DA88" t="s">
        <v>218</v>
      </c>
    </row>
    <row r="89" spans="1:105" x14ac:dyDescent="0.3">
      <c r="A89">
        <v>1226387</v>
      </c>
      <c r="B89">
        <v>931995</v>
      </c>
      <c r="C89" t="str">
        <f>"061102502423"</f>
        <v>061102502423</v>
      </c>
      <c r="D89" t="s">
        <v>531</v>
      </c>
      <c r="E89" t="s">
        <v>532</v>
      </c>
      <c r="F89" t="s">
        <v>533</v>
      </c>
      <c r="G89" s="1">
        <v>39023</v>
      </c>
      <c r="I89" t="s">
        <v>187</v>
      </c>
      <c r="J89" t="s">
        <v>188</v>
      </c>
      <c r="K89" t="s">
        <v>189</v>
      </c>
      <c r="Y89" t="str">
        <f>"2014-09-01T00:00:00"</f>
        <v>2014-09-01T00:00:00</v>
      </c>
      <c r="Z89" t="str">
        <f>"№76"</f>
        <v>№76</v>
      </c>
      <c r="AA89" t="s">
        <v>224</v>
      </c>
      <c r="AB89" t="str">
        <f>"akm_arshalu_novoaleksandrovka@mail.ru"</f>
        <v>akm_arshalu_novoaleksandrovka@mail.ru</v>
      </c>
      <c r="AC89" t="s">
        <v>225</v>
      </c>
      <c r="AD89" t="s">
        <v>192</v>
      </c>
      <c r="AE89" t="s">
        <v>193</v>
      </c>
      <c r="AF89" t="s">
        <v>194</v>
      </c>
      <c r="AH89" t="s">
        <v>195</v>
      </c>
      <c r="AI89">
        <v>2</v>
      </c>
      <c r="AJ89" t="s">
        <v>196</v>
      </c>
      <c r="AK89" t="s">
        <v>194</v>
      </c>
      <c r="AL89" t="s">
        <v>197</v>
      </c>
      <c r="AM89" t="s">
        <v>228</v>
      </c>
      <c r="AR89" t="s">
        <v>194</v>
      </c>
      <c r="AS89" t="s">
        <v>199</v>
      </c>
      <c r="AU89" t="s">
        <v>197</v>
      </c>
      <c r="AZ89" t="s">
        <v>194</v>
      </c>
      <c r="BA89" t="s">
        <v>200</v>
      </c>
      <c r="BB89" t="s">
        <v>201</v>
      </c>
      <c r="BD89" t="s">
        <v>200</v>
      </c>
      <c r="BE89" t="s">
        <v>202</v>
      </c>
      <c r="BF89" t="s">
        <v>197</v>
      </c>
      <c r="BG89" t="s">
        <v>339</v>
      </c>
      <c r="BH89" t="s">
        <v>318</v>
      </c>
      <c r="BJ89" t="s">
        <v>205</v>
      </c>
      <c r="BK89" t="s">
        <v>206</v>
      </c>
      <c r="BL89" t="s">
        <v>194</v>
      </c>
      <c r="BO89" t="s">
        <v>200</v>
      </c>
      <c r="BP89" t="s">
        <v>200</v>
      </c>
      <c r="BR89" t="s">
        <v>232</v>
      </c>
      <c r="BT89" t="s">
        <v>197</v>
      </c>
      <c r="BV89" t="s">
        <v>415</v>
      </c>
      <c r="BW89" t="s">
        <v>416</v>
      </c>
      <c r="BX89" t="s">
        <v>211</v>
      </c>
      <c r="BY89" t="s">
        <v>534</v>
      </c>
      <c r="BZ89" t="s">
        <v>535</v>
      </c>
      <c r="CA89" t="s">
        <v>194</v>
      </c>
      <c r="CB89" t="s">
        <v>214</v>
      </c>
      <c r="CF89" t="s">
        <v>215</v>
      </c>
      <c r="CH89" t="s">
        <v>214</v>
      </c>
      <c r="CI89" t="s">
        <v>214</v>
      </c>
      <c r="CJ89" t="s">
        <v>214</v>
      </c>
      <c r="CP89" t="s">
        <v>214</v>
      </c>
      <c r="CS89" t="s">
        <v>216</v>
      </c>
      <c r="CV89" t="s">
        <v>214</v>
      </c>
      <c r="CW89" t="s">
        <v>214</v>
      </c>
      <c r="CX89" t="s">
        <v>217</v>
      </c>
      <c r="CY89" t="s">
        <v>214</v>
      </c>
      <c r="DA89" t="s">
        <v>218</v>
      </c>
    </row>
    <row r="90" spans="1:105" x14ac:dyDescent="0.3">
      <c r="A90">
        <v>1226519</v>
      </c>
      <c r="B90">
        <v>932075</v>
      </c>
      <c r="C90" t="str">
        <f>"111205604636"</f>
        <v>111205604636</v>
      </c>
      <c r="D90" t="s">
        <v>536</v>
      </c>
      <c r="E90" t="s">
        <v>537</v>
      </c>
      <c r="F90" t="s">
        <v>538</v>
      </c>
      <c r="G90" s="1">
        <v>40882</v>
      </c>
      <c r="I90" t="s">
        <v>222</v>
      </c>
      <c r="J90" t="s">
        <v>188</v>
      </c>
      <c r="K90" t="s">
        <v>223</v>
      </c>
      <c r="Y90" t="str">
        <f>"2017-09-02T00:00:00"</f>
        <v>2017-09-02T00:00:00</v>
      </c>
      <c r="Z90" t="str">
        <f>"№35"</f>
        <v>№35</v>
      </c>
      <c r="AA90" t="s">
        <v>224</v>
      </c>
      <c r="AC90" t="s">
        <v>191</v>
      </c>
      <c r="AD90" t="s">
        <v>285</v>
      </c>
      <c r="AE90" t="s">
        <v>243</v>
      </c>
      <c r="AF90" t="s">
        <v>194</v>
      </c>
      <c r="AH90" t="s">
        <v>195</v>
      </c>
      <c r="AI90">
        <v>1</v>
      </c>
      <c r="AJ90" t="s">
        <v>196</v>
      </c>
      <c r="AK90" t="s">
        <v>194</v>
      </c>
      <c r="AL90" t="s">
        <v>197</v>
      </c>
      <c r="AM90" t="s">
        <v>228</v>
      </c>
      <c r="AR90" t="s">
        <v>194</v>
      </c>
      <c r="AS90" t="s">
        <v>199</v>
      </c>
      <c r="AU90" t="s">
        <v>197</v>
      </c>
      <c r="AZ90" t="s">
        <v>194</v>
      </c>
      <c r="BA90" t="s">
        <v>200</v>
      </c>
      <c r="BB90" t="s">
        <v>201</v>
      </c>
      <c r="BD90" t="s">
        <v>200</v>
      </c>
      <c r="BE90" t="s">
        <v>244</v>
      </c>
      <c r="BF90" t="s">
        <v>197</v>
      </c>
      <c r="BG90" t="s">
        <v>269</v>
      </c>
      <c r="BH90" t="s">
        <v>432</v>
      </c>
      <c r="BJ90" t="s">
        <v>205</v>
      </c>
      <c r="BK90" t="s">
        <v>206</v>
      </c>
      <c r="BL90" t="s">
        <v>194</v>
      </c>
      <c r="BO90" t="s">
        <v>200</v>
      </c>
      <c r="BP90" t="s">
        <v>200</v>
      </c>
      <c r="BQ90" t="s">
        <v>286</v>
      </c>
      <c r="BR90" t="s">
        <v>232</v>
      </c>
      <c r="BT90" t="s">
        <v>197</v>
      </c>
      <c r="BV90" t="s">
        <v>415</v>
      </c>
      <c r="BW90" t="s">
        <v>416</v>
      </c>
      <c r="BX90" t="s">
        <v>539</v>
      </c>
      <c r="BY90" t="s">
        <v>534</v>
      </c>
      <c r="BZ90" t="s">
        <v>535</v>
      </c>
      <c r="CA90" t="s">
        <v>194</v>
      </c>
      <c r="CB90" t="s">
        <v>194</v>
      </c>
      <c r="CC90" t="s">
        <v>264</v>
      </c>
      <c r="CD90" t="s">
        <v>265</v>
      </c>
      <c r="CE90" t="s">
        <v>266</v>
      </c>
      <c r="CF90" t="s">
        <v>215</v>
      </c>
      <c r="CH90" t="s">
        <v>214</v>
      </c>
      <c r="CI90" t="s">
        <v>214</v>
      </c>
      <c r="CJ90" t="s">
        <v>214</v>
      </c>
      <c r="CP90" t="s">
        <v>214</v>
      </c>
      <c r="CS90" t="s">
        <v>216</v>
      </c>
      <c r="CV90" t="s">
        <v>214</v>
      </c>
      <c r="CW90" t="s">
        <v>214</v>
      </c>
      <c r="CX90" t="s">
        <v>217</v>
      </c>
      <c r="CY90" t="s">
        <v>214</v>
      </c>
      <c r="DA90" t="s">
        <v>218</v>
      </c>
    </row>
    <row r="91" spans="1:105" x14ac:dyDescent="0.3">
      <c r="A91">
        <v>1226583</v>
      </c>
      <c r="B91">
        <v>932113</v>
      </c>
      <c r="C91" t="str">
        <f>"070829654741"</f>
        <v>070829654741</v>
      </c>
      <c r="D91" t="s">
        <v>540</v>
      </c>
      <c r="E91" t="s">
        <v>541</v>
      </c>
      <c r="F91" t="s">
        <v>542</v>
      </c>
      <c r="G91" s="1">
        <v>39323</v>
      </c>
      <c r="I91" t="s">
        <v>222</v>
      </c>
      <c r="J91" t="s">
        <v>188</v>
      </c>
      <c r="K91" t="s">
        <v>189</v>
      </c>
      <c r="Y91" t="str">
        <f>"2015-09-01T00:00:00"</f>
        <v>2015-09-01T00:00:00</v>
      </c>
      <c r="Z91" t="str">
        <f>"№46"</f>
        <v>№46</v>
      </c>
      <c r="AA91" t="s">
        <v>224</v>
      </c>
      <c r="AC91" t="s">
        <v>225</v>
      </c>
      <c r="AD91" t="s">
        <v>226</v>
      </c>
      <c r="AE91" t="s">
        <v>227</v>
      </c>
      <c r="AF91" t="s">
        <v>194</v>
      </c>
      <c r="AH91" t="s">
        <v>195</v>
      </c>
      <c r="AI91">
        <v>2</v>
      </c>
      <c r="AJ91" t="s">
        <v>196</v>
      </c>
      <c r="AK91" t="s">
        <v>194</v>
      </c>
      <c r="AL91" t="s">
        <v>197</v>
      </c>
      <c r="AM91" t="s">
        <v>228</v>
      </c>
      <c r="AR91" t="s">
        <v>194</v>
      </c>
      <c r="AS91" t="s">
        <v>199</v>
      </c>
      <c r="AU91" t="s">
        <v>197</v>
      </c>
      <c r="AZ91" t="s">
        <v>194</v>
      </c>
      <c r="BA91" t="s">
        <v>200</v>
      </c>
      <c r="BB91" t="s">
        <v>201</v>
      </c>
      <c r="BC91" t="s">
        <v>200</v>
      </c>
      <c r="BE91" t="s">
        <v>202</v>
      </c>
      <c r="BF91" t="s">
        <v>197</v>
      </c>
      <c r="BG91" t="s">
        <v>269</v>
      </c>
      <c r="BH91" t="s">
        <v>279</v>
      </c>
      <c r="BJ91" t="s">
        <v>205</v>
      </c>
      <c r="BK91" t="s">
        <v>206</v>
      </c>
      <c r="BL91" t="s">
        <v>194</v>
      </c>
      <c r="BO91" t="s">
        <v>200</v>
      </c>
      <c r="BP91" t="s">
        <v>200</v>
      </c>
      <c r="BR91" t="s">
        <v>232</v>
      </c>
      <c r="BT91" t="s">
        <v>197</v>
      </c>
      <c r="BV91" t="s">
        <v>233</v>
      </c>
      <c r="CA91" t="s">
        <v>194</v>
      </c>
      <c r="CB91" t="s">
        <v>214</v>
      </c>
      <c r="CF91" t="s">
        <v>215</v>
      </c>
      <c r="CH91" t="s">
        <v>214</v>
      </c>
      <c r="CI91" t="s">
        <v>214</v>
      </c>
      <c r="CJ91" t="s">
        <v>214</v>
      </c>
      <c r="CP91" t="s">
        <v>214</v>
      </c>
      <c r="CS91" t="s">
        <v>216</v>
      </c>
      <c r="CV91" t="s">
        <v>214</v>
      </c>
      <c r="CW91" t="s">
        <v>214</v>
      </c>
      <c r="CX91" t="s">
        <v>217</v>
      </c>
      <c r="CY91" t="s">
        <v>214</v>
      </c>
      <c r="DA91" t="s">
        <v>218</v>
      </c>
    </row>
    <row r="92" spans="1:105" x14ac:dyDescent="0.3">
      <c r="A92">
        <v>1226586</v>
      </c>
      <c r="B92">
        <v>932115</v>
      </c>
      <c r="C92" t="str">
        <f>"081222653242"</f>
        <v>081222653242</v>
      </c>
      <c r="D92" t="s">
        <v>543</v>
      </c>
      <c r="E92" t="s">
        <v>544</v>
      </c>
      <c r="F92" t="s">
        <v>542</v>
      </c>
      <c r="G92" s="1">
        <v>39804</v>
      </c>
      <c r="I92" t="s">
        <v>222</v>
      </c>
      <c r="J92" t="s">
        <v>188</v>
      </c>
      <c r="K92" t="s">
        <v>189</v>
      </c>
      <c r="Y92" t="str">
        <f>"2015-09-01T00:00:00"</f>
        <v>2015-09-01T00:00:00</v>
      </c>
      <c r="Z92" t="str">
        <f>"№46"</f>
        <v>№46</v>
      </c>
      <c r="AA92" t="s">
        <v>224</v>
      </c>
      <c r="AC92" t="s">
        <v>237</v>
      </c>
      <c r="AD92" t="s">
        <v>226</v>
      </c>
      <c r="AE92" t="s">
        <v>227</v>
      </c>
      <c r="AF92" t="s">
        <v>194</v>
      </c>
      <c r="AH92" t="s">
        <v>195</v>
      </c>
      <c r="AI92">
        <v>2</v>
      </c>
      <c r="AJ92" t="s">
        <v>196</v>
      </c>
      <c r="AK92" t="s">
        <v>194</v>
      </c>
      <c r="AL92" t="s">
        <v>197</v>
      </c>
      <c r="AM92" t="s">
        <v>228</v>
      </c>
      <c r="AR92" t="s">
        <v>194</v>
      </c>
      <c r="AS92" t="s">
        <v>199</v>
      </c>
      <c r="AU92" t="s">
        <v>197</v>
      </c>
      <c r="AZ92" t="s">
        <v>194</v>
      </c>
      <c r="BA92" t="s">
        <v>200</v>
      </c>
      <c r="BB92" t="s">
        <v>201</v>
      </c>
      <c r="BC92" t="s">
        <v>200</v>
      </c>
      <c r="BE92" t="s">
        <v>202</v>
      </c>
      <c r="BF92" t="s">
        <v>197</v>
      </c>
      <c r="BG92" t="s">
        <v>230</v>
      </c>
      <c r="BH92" t="s">
        <v>440</v>
      </c>
      <c r="BJ92" t="s">
        <v>205</v>
      </c>
      <c r="BK92" t="s">
        <v>206</v>
      </c>
      <c r="BL92" t="s">
        <v>194</v>
      </c>
      <c r="BO92" t="s">
        <v>200</v>
      </c>
      <c r="BP92" t="s">
        <v>200</v>
      </c>
      <c r="BR92" t="s">
        <v>232</v>
      </c>
      <c r="BT92" t="s">
        <v>197</v>
      </c>
      <c r="BV92" t="s">
        <v>233</v>
      </c>
      <c r="CA92" t="s">
        <v>194</v>
      </c>
      <c r="CB92" t="s">
        <v>214</v>
      </c>
      <c r="CF92" t="s">
        <v>215</v>
      </c>
      <c r="CH92" t="s">
        <v>214</v>
      </c>
      <c r="CI92" t="s">
        <v>214</v>
      </c>
      <c r="CJ92" t="s">
        <v>214</v>
      </c>
      <c r="CP92" t="s">
        <v>214</v>
      </c>
      <c r="CS92" t="s">
        <v>216</v>
      </c>
      <c r="CV92" t="s">
        <v>214</v>
      </c>
      <c r="CW92" t="s">
        <v>214</v>
      </c>
      <c r="CX92" t="s">
        <v>217</v>
      </c>
      <c r="CY92" t="s">
        <v>214</v>
      </c>
      <c r="DA92" t="s">
        <v>218</v>
      </c>
    </row>
    <row r="93" spans="1:105" x14ac:dyDescent="0.3">
      <c r="A93">
        <v>1226592</v>
      </c>
      <c r="B93">
        <v>44802</v>
      </c>
      <c r="C93" t="str">
        <f>"070606651536"</f>
        <v>070606651536</v>
      </c>
      <c r="D93" t="s">
        <v>545</v>
      </c>
      <c r="E93" t="s">
        <v>546</v>
      </c>
      <c r="F93" t="s">
        <v>547</v>
      </c>
      <c r="G93" s="1">
        <v>39239</v>
      </c>
      <c r="I93" t="s">
        <v>222</v>
      </c>
      <c r="J93" t="s">
        <v>188</v>
      </c>
      <c r="K93" t="s">
        <v>189</v>
      </c>
      <c r="Y93" t="str">
        <f>"2015-09-14T00:00:00"</f>
        <v>2015-09-14T00:00:00</v>
      </c>
      <c r="Z93" t="str">
        <f>"№58"</f>
        <v>№58</v>
      </c>
      <c r="AA93" t="s">
        <v>224</v>
      </c>
      <c r="AB93" t="str">
        <f>"akm_arshalu_novoaleksandrovka@mail.ru"</f>
        <v>akm_arshalu_novoaleksandrovka@mail.ru</v>
      </c>
      <c r="AC93" t="s">
        <v>225</v>
      </c>
      <c r="AD93" t="s">
        <v>192</v>
      </c>
      <c r="AE93" t="s">
        <v>193</v>
      </c>
      <c r="AF93" t="s">
        <v>194</v>
      </c>
      <c r="AH93" t="s">
        <v>195</v>
      </c>
      <c r="AI93">
        <v>2</v>
      </c>
      <c r="AJ93" t="s">
        <v>196</v>
      </c>
      <c r="AK93" t="s">
        <v>194</v>
      </c>
      <c r="AL93" t="s">
        <v>197</v>
      </c>
      <c r="AM93" t="s">
        <v>228</v>
      </c>
      <c r="AR93" t="s">
        <v>194</v>
      </c>
      <c r="AS93" t="s">
        <v>199</v>
      </c>
      <c r="AU93" t="s">
        <v>197</v>
      </c>
      <c r="AZ93" t="s">
        <v>194</v>
      </c>
      <c r="BA93" t="s">
        <v>200</v>
      </c>
      <c r="BB93" t="s">
        <v>201</v>
      </c>
      <c r="BD93" t="s">
        <v>200</v>
      </c>
      <c r="BE93" t="s">
        <v>244</v>
      </c>
      <c r="BF93" t="s">
        <v>197</v>
      </c>
      <c r="BG93" t="s">
        <v>290</v>
      </c>
      <c r="BH93" t="s">
        <v>548</v>
      </c>
      <c r="BJ93" t="s">
        <v>205</v>
      </c>
      <c r="BK93" t="s">
        <v>206</v>
      </c>
      <c r="BL93" t="s">
        <v>194</v>
      </c>
      <c r="BO93" t="s">
        <v>200</v>
      </c>
      <c r="BP93" t="s">
        <v>200</v>
      </c>
      <c r="BR93" t="s">
        <v>207</v>
      </c>
      <c r="BS93" t="s">
        <v>208</v>
      </c>
      <c r="BT93" t="s">
        <v>197</v>
      </c>
      <c r="BV93" t="s">
        <v>233</v>
      </c>
      <c r="CA93" t="s">
        <v>194</v>
      </c>
      <c r="CB93" t="s">
        <v>214</v>
      </c>
      <c r="CF93" t="s">
        <v>215</v>
      </c>
      <c r="CH93" t="s">
        <v>214</v>
      </c>
      <c r="CI93" t="s">
        <v>214</v>
      </c>
      <c r="CJ93" t="s">
        <v>214</v>
      </c>
      <c r="CP93" t="s">
        <v>214</v>
      </c>
      <c r="CS93" t="s">
        <v>216</v>
      </c>
      <c r="CV93" t="s">
        <v>214</v>
      </c>
      <c r="CW93" t="s">
        <v>214</v>
      </c>
      <c r="CX93" t="s">
        <v>217</v>
      </c>
      <c r="CY93" t="s">
        <v>214</v>
      </c>
      <c r="DA93" t="s">
        <v>218</v>
      </c>
    </row>
    <row r="94" spans="1:105" x14ac:dyDescent="0.3">
      <c r="A94">
        <v>1226610</v>
      </c>
      <c r="B94">
        <v>932131</v>
      </c>
      <c r="C94" t="str">
        <f>"100206653665"</f>
        <v>100206653665</v>
      </c>
      <c r="D94" t="s">
        <v>549</v>
      </c>
      <c r="E94" t="s">
        <v>398</v>
      </c>
      <c r="F94" t="s">
        <v>550</v>
      </c>
      <c r="G94" s="1">
        <v>40215</v>
      </c>
      <c r="I94" t="s">
        <v>222</v>
      </c>
      <c r="J94" t="s">
        <v>188</v>
      </c>
      <c r="K94" t="s">
        <v>223</v>
      </c>
      <c r="Y94" t="str">
        <f>"2017-08-29T00:00:00"</f>
        <v>2017-08-29T00:00:00</v>
      </c>
      <c r="Z94" t="str">
        <f>"№28"</f>
        <v>№28</v>
      </c>
      <c r="AA94" t="s">
        <v>224</v>
      </c>
      <c r="AC94" t="s">
        <v>191</v>
      </c>
      <c r="AD94" t="s">
        <v>242</v>
      </c>
      <c r="AE94" t="s">
        <v>243</v>
      </c>
      <c r="AF94" t="s">
        <v>194</v>
      </c>
      <c r="AH94" t="s">
        <v>195</v>
      </c>
      <c r="AI94">
        <v>1</v>
      </c>
      <c r="AJ94" t="s">
        <v>196</v>
      </c>
      <c r="AK94" t="s">
        <v>194</v>
      </c>
      <c r="AL94" t="s">
        <v>197</v>
      </c>
      <c r="AM94" t="s">
        <v>198</v>
      </c>
      <c r="AR94" t="s">
        <v>194</v>
      </c>
      <c r="AS94" t="s">
        <v>199</v>
      </c>
      <c r="AU94" t="s">
        <v>197</v>
      </c>
      <c r="AZ94" t="s">
        <v>194</v>
      </c>
      <c r="BA94" t="s">
        <v>200</v>
      </c>
      <c r="BB94" t="s">
        <v>201</v>
      </c>
      <c r="BD94" t="s">
        <v>200</v>
      </c>
      <c r="BE94" t="s">
        <v>229</v>
      </c>
      <c r="BF94" t="s">
        <v>197</v>
      </c>
      <c r="BG94" t="s">
        <v>230</v>
      </c>
      <c r="BH94" t="s">
        <v>456</v>
      </c>
      <c r="BJ94" t="s">
        <v>205</v>
      </c>
      <c r="BK94" t="s">
        <v>206</v>
      </c>
      <c r="BL94" t="s">
        <v>194</v>
      </c>
      <c r="BO94" t="s">
        <v>216</v>
      </c>
      <c r="BP94" t="s">
        <v>216</v>
      </c>
      <c r="BR94" t="s">
        <v>232</v>
      </c>
      <c r="BT94" t="s">
        <v>197</v>
      </c>
      <c r="BV94" t="s">
        <v>233</v>
      </c>
      <c r="CA94" t="s">
        <v>194</v>
      </c>
      <c r="CB94" t="s">
        <v>214</v>
      </c>
      <c r="CF94" t="s">
        <v>215</v>
      </c>
      <c r="CH94" t="s">
        <v>214</v>
      </c>
      <c r="CI94" t="s">
        <v>214</v>
      </c>
      <c r="CJ94" t="s">
        <v>214</v>
      </c>
      <c r="CP94" t="s">
        <v>214</v>
      </c>
      <c r="CS94" t="s">
        <v>216</v>
      </c>
      <c r="CV94" t="s">
        <v>214</v>
      </c>
      <c r="CW94" t="s">
        <v>214</v>
      </c>
      <c r="CX94" t="s">
        <v>217</v>
      </c>
      <c r="CY94" t="s">
        <v>214</v>
      </c>
      <c r="DA94" t="s">
        <v>218</v>
      </c>
    </row>
    <row r="95" spans="1:105" x14ac:dyDescent="0.3">
      <c r="A95">
        <v>1226740</v>
      </c>
      <c r="B95">
        <v>932217</v>
      </c>
      <c r="C95" t="str">
        <f>"070226551267"</f>
        <v>070226551267</v>
      </c>
      <c r="D95" t="s">
        <v>397</v>
      </c>
      <c r="E95" t="s">
        <v>322</v>
      </c>
      <c r="F95" t="s">
        <v>529</v>
      </c>
      <c r="G95" s="1">
        <v>39139</v>
      </c>
      <c r="I95" t="s">
        <v>187</v>
      </c>
      <c r="J95" t="s">
        <v>188</v>
      </c>
      <c r="K95" t="s">
        <v>345</v>
      </c>
      <c r="Y95" t="str">
        <f>"2014-09-01T00:00:00"</f>
        <v>2014-09-01T00:00:00</v>
      </c>
      <c r="Z95" t="str">
        <f>"№76"</f>
        <v>№76</v>
      </c>
      <c r="AA95" t="s">
        <v>224</v>
      </c>
      <c r="AB95" t="str">
        <f>"akm_arshalu_novoaleksandrovka@mail.ru"</f>
        <v>akm_arshalu_novoaleksandrovka@mail.ru</v>
      </c>
      <c r="AC95" t="s">
        <v>191</v>
      </c>
      <c r="AD95" t="s">
        <v>192</v>
      </c>
      <c r="AE95" t="s">
        <v>227</v>
      </c>
      <c r="AF95" t="s">
        <v>194</v>
      </c>
      <c r="AH95" t="s">
        <v>195</v>
      </c>
      <c r="AI95">
        <v>1</v>
      </c>
      <c r="AJ95" t="s">
        <v>196</v>
      </c>
      <c r="AK95" t="s">
        <v>194</v>
      </c>
      <c r="AL95" t="s">
        <v>197</v>
      </c>
      <c r="AM95" t="s">
        <v>228</v>
      </c>
      <c r="AR95" t="s">
        <v>214</v>
      </c>
      <c r="AU95" t="s">
        <v>197</v>
      </c>
      <c r="AZ95" t="s">
        <v>194</v>
      </c>
      <c r="BA95" t="s">
        <v>200</v>
      </c>
      <c r="BB95" t="s">
        <v>201</v>
      </c>
      <c r="BD95" t="s">
        <v>200</v>
      </c>
      <c r="BE95" t="s">
        <v>202</v>
      </c>
      <c r="BF95" t="s">
        <v>197</v>
      </c>
      <c r="BG95" t="s">
        <v>290</v>
      </c>
      <c r="BH95" t="s">
        <v>391</v>
      </c>
      <c r="BJ95" t="s">
        <v>205</v>
      </c>
      <c r="BK95" t="s">
        <v>206</v>
      </c>
      <c r="BL95" t="s">
        <v>194</v>
      </c>
      <c r="BO95" t="s">
        <v>216</v>
      </c>
      <c r="BP95" t="s">
        <v>216</v>
      </c>
      <c r="BR95" t="s">
        <v>246</v>
      </c>
      <c r="BS95" t="s">
        <v>208</v>
      </c>
      <c r="BT95" t="s">
        <v>197</v>
      </c>
      <c r="BV95" t="s">
        <v>233</v>
      </c>
      <c r="CA95" t="s">
        <v>194</v>
      </c>
      <c r="CB95" t="s">
        <v>214</v>
      </c>
      <c r="CF95" t="s">
        <v>215</v>
      </c>
      <c r="CH95" t="s">
        <v>214</v>
      </c>
      <c r="CI95" t="s">
        <v>214</v>
      </c>
      <c r="CJ95" t="s">
        <v>214</v>
      </c>
      <c r="CP95" t="s">
        <v>214</v>
      </c>
      <c r="CS95" t="s">
        <v>216</v>
      </c>
      <c r="CV95" t="s">
        <v>214</v>
      </c>
      <c r="CW95" t="s">
        <v>214</v>
      </c>
      <c r="CX95" t="s">
        <v>217</v>
      </c>
      <c r="CY95" t="s">
        <v>214</v>
      </c>
      <c r="DA95" t="s">
        <v>218</v>
      </c>
    </row>
    <row r="96" spans="1:105" x14ac:dyDescent="0.3">
      <c r="A96">
        <v>1226774</v>
      </c>
      <c r="B96">
        <v>932247</v>
      </c>
      <c r="C96" t="str">
        <f>"090318554463"</f>
        <v>090318554463</v>
      </c>
      <c r="D96" t="s">
        <v>551</v>
      </c>
      <c r="E96" t="s">
        <v>552</v>
      </c>
      <c r="F96" t="s">
        <v>553</v>
      </c>
      <c r="G96" s="1">
        <v>39890</v>
      </c>
      <c r="I96" t="s">
        <v>187</v>
      </c>
      <c r="J96" t="s">
        <v>188</v>
      </c>
      <c r="K96" t="s">
        <v>223</v>
      </c>
      <c r="Y96" t="str">
        <f>"2016-08-19T00:00:00"</f>
        <v>2016-08-19T00:00:00</v>
      </c>
      <c r="Z96" t="str">
        <f>"№37"</f>
        <v>№37</v>
      </c>
      <c r="AA96" t="s">
        <v>190</v>
      </c>
      <c r="AC96" t="s">
        <v>237</v>
      </c>
      <c r="AD96" t="s">
        <v>226</v>
      </c>
      <c r="AE96" t="s">
        <v>193</v>
      </c>
      <c r="AF96" t="s">
        <v>194</v>
      </c>
      <c r="AH96" t="s">
        <v>195</v>
      </c>
      <c r="AI96">
        <v>2</v>
      </c>
      <c r="AJ96" t="s">
        <v>196</v>
      </c>
      <c r="AK96" t="s">
        <v>194</v>
      </c>
      <c r="AL96" t="s">
        <v>197</v>
      </c>
      <c r="AM96" t="s">
        <v>198</v>
      </c>
      <c r="AR96" t="s">
        <v>214</v>
      </c>
      <c r="AU96" t="s">
        <v>197</v>
      </c>
      <c r="AZ96" t="s">
        <v>194</v>
      </c>
      <c r="BA96" t="s">
        <v>200</v>
      </c>
      <c r="BB96" t="s">
        <v>201</v>
      </c>
      <c r="BD96" t="s">
        <v>200</v>
      </c>
      <c r="BE96" t="s">
        <v>202</v>
      </c>
      <c r="BF96" t="s">
        <v>197</v>
      </c>
      <c r="BG96" t="s">
        <v>238</v>
      </c>
      <c r="BH96">
        <v>3</v>
      </c>
      <c r="BJ96" t="s">
        <v>205</v>
      </c>
      <c r="BK96" t="s">
        <v>206</v>
      </c>
      <c r="BL96" t="s">
        <v>194</v>
      </c>
      <c r="BO96" t="s">
        <v>200</v>
      </c>
      <c r="BP96" t="s">
        <v>200</v>
      </c>
      <c r="BR96" t="s">
        <v>246</v>
      </c>
      <c r="BS96" t="s">
        <v>208</v>
      </c>
      <c r="BT96" t="s">
        <v>197</v>
      </c>
      <c r="BV96" t="s">
        <v>233</v>
      </c>
      <c r="CA96" t="s">
        <v>194</v>
      </c>
      <c r="CB96" t="s">
        <v>214</v>
      </c>
      <c r="CF96" t="s">
        <v>215</v>
      </c>
      <c r="CH96" t="s">
        <v>214</v>
      </c>
      <c r="CI96" t="s">
        <v>214</v>
      </c>
      <c r="CJ96" t="s">
        <v>214</v>
      </c>
      <c r="CP96" t="s">
        <v>214</v>
      </c>
      <c r="CS96" t="s">
        <v>216</v>
      </c>
      <c r="CV96" t="s">
        <v>214</v>
      </c>
      <c r="CW96" t="s">
        <v>214</v>
      </c>
      <c r="CX96" t="s">
        <v>217</v>
      </c>
      <c r="CY96" t="s">
        <v>214</v>
      </c>
      <c r="DA96" t="s">
        <v>218</v>
      </c>
    </row>
    <row r="97" spans="1:105" x14ac:dyDescent="0.3">
      <c r="A97">
        <v>1226797</v>
      </c>
      <c r="B97">
        <v>932266</v>
      </c>
      <c r="C97" t="str">
        <f>"080229552154"</f>
        <v>080229552154</v>
      </c>
      <c r="D97" t="s">
        <v>554</v>
      </c>
      <c r="E97" t="s">
        <v>555</v>
      </c>
      <c r="F97" t="s">
        <v>556</v>
      </c>
      <c r="G97" s="1">
        <v>39507</v>
      </c>
      <c r="I97" t="s">
        <v>187</v>
      </c>
      <c r="J97" t="s">
        <v>188</v>
      </c>
      <c r="K97" t="s">
        <v>189</v>
      </c>
      <c r="Y97" t="str">
        <f>"2018-08-06T00:00:00"</f>
        <v>2018-08-06T00:00:00</v>
      </c>
      <c r="Z97" t="str">
        <f>"№19"</f>
        <v>№19</v>
      </c>
      <c r="AA97" t="s">
        <v>224</v>
      </c>
      <c r="AB97" t="str">
        <f>"akm_arshalu_novoaleksandrovka@mail.ru"</f>
        <v>akm_arshalu_novoaleksandrovka@mail.ru</v>
      </c>
      <c r="AC97" t="s">
        <v>191</v>
      </c>
      <c r="AD97" t="s">
        <v>192</v>
      </c>
      <c r="AE97" t="s">
        <v>193</v>
      </c>
      <c r="AF97" t="s">
        <v>194</v>
      </c>
      <c r="AH97" t="s">
        <v>195</v>
      </c>
      <c r="AI97">
        <v>2</v>
      </c>
      <c r="AJ97" t="s">
        <v>196</v>
      </c>
      <c r="AK97" t="s">
        <v>194</v>
      </c>
      <c r="AL97" t="s">
        <v>197</v>
      </c>
      <c r="AM97" t="s">
        <v>228</v>
      </c>
      <c r="AR97" t="s">
        <v>194</v>
      </c>
      <c r="AS97" t="s">
        <v>199</v>
      </c>
      <c r="AU97" t="s">
        <v>197</v>
      </c>
      <c r="AZ97" t="s">
        <v>194</v>
      </c>
      <c r="BA97" t="s">
        <v>200</v>
      </c>
      <c r="BB97" t="s">
        <v>201</v>
      </c>
      <c r="BD97" t="s">
        <v>200</v>
      </c>
      <c r="BE97" t="s">
        <v>202</v>
      </c>
      <c r="BF97" t="s">
        <v>197</v>
      </c>
      <c r="BG97" t="s">
        <v>339</v>
      </c>
      <c r="BH97" t="s">
        <v>557</v>
      </c>
      <c r="BJ97" t="s">
        <v>205</v>
      </c>
      <c r="BK97" t="s">
        <v>206</v>
      </c>
      <c r="BL97" t="s">
        <v>194</v>
      </c>
      <c r="BO97" t="s">
        <v>200</v>
      </c>
      <c r="BP97" t="s">
        <v>200</v>
      </c>
      <c r="BR97" t="s">
        <v>232</v>
      </c>
      <c r="BT97" t="s">
        <v>197</v>
      </c>
      <c r="BV97" t="s">
        <v>558</v>
      </c>
      <c r="BW97" t="s">
        <v>559</v>
      </c>
      <c r="BX97" t="s">
        <v>560</v>
      </c>
      <c r="BY97" t="s">
        <v>561</v>
      </c>
      <c r="BZ97" t="s">
        <v>562</v>
      </c>
      <c r="CA97" t="s">
        <v>194</v>
      </c>
      <c r="CB97" t="s">
        <v>214</v>
      </c>
      <c r="CF97" t="s">
        <v>215</v>
      </c>
      <c r="CH97" t="s">
        <v>214</v>
      </c>
      <c r="CI97" t="s">
        <v>214</v>
      </c>
      <c r="CJ97" t="s">
        <v>214</v>
      </c>
      <c r="CP97" t="s">
        <v>214</v>
      </c>
      <c r="CS97" t="s">
        <v>216</v>
      </c>
      <c r="CV97" t="s">
        <v>214</v>
      </c>
      <c r="CW97" t="s">
        <v>214</v>
      </c>
      <c r="CX97" t="s">
        <v>217</v>
      </c>
      <c r="CY97" t="s">
        <v>214</v>
      </c>
      <c r="DA97" t="s">
        <v>218</v>
      </c>
    </row>
    <row r="98" spans="1:105" x14ac:dyDescent="0.3">
      <c r="A98">
        <v>1226864</v>
      </c>
      <c r="B98">
        <v>932310</v>
      </c>
      <c r="C98" t="str">
        <f>"101227502116"</f>
        <v>101227502116</v>
      </c>
      <c r="D98" t="s">
        <v>563</v>
      </c>
      <c r="E98" t="s">
        <v>564</v>
      </c>
      <c r="F98" t="s">
        <v>289</v>
      </c>
      <c r="G98" s="1">
        <v>40539</v>
      </c>
      <c r="I98" t="s">
        <v>187</v>
      </c>
      <c r="J98" t="s">
        <v>188</v>
      </c>
      <c r="K98" t="s">
        <v>298</v>
      </c>
      <c r="Y98" t="str">
        <f>"2016-09-01T00:00:00"</f>
        <v>2016-09-01T00:00:00</v>
      </c>
      <c r="Z98" t="str">
        <f>"№45"</f>
        <v>№45</v>
      </c>
      <c r="AA98" t="s">
        <v>314</v>
      </c>
      <c r="AC98" t="s">
        <v>237</v>
      </c>
      <c r="AD98" t="s">
        <v>261</v>
      </c>
      <c r="AE98" t="s">
        <v>227</v>
      </c>
      <c r="AF98" t="s">
        <v>194</v>
      </c>
      <c r="AH98" t="s">
        <v>195</v>
      </c>
      <c r="AI98">
        <v>2</v>
      </c>
      <c r="AJ98" t="s">
        <v>196</v>
      </c>
      <c r="AK98" t="s">
        <v>194</v>
      </c>
      <c r="AL98" t="s">
        <v>197</v>
      </c>
      <c r="AM98" t="s">
        <v>198</v>
      </c>
      <c r="AQ98" t="str">
        <f>"2020-11-04T09:00:51"</f>
        <v>2020-11-04T09:00:51</v>
      </c>
      <c r="AR98" t="s">
        <v>194</v>
      </c>
      <c r="AS98" t="s">
        <v>199</v>
      </c>
      <c r="AU98" t="s">
        <v>197</v>
      </c>
      <c r="AZ98" t="s">
        <v>194</v>
      </c>
      <c r="BA98" t="s">
        <v>200</v>
      </c>
      <c r="BB98" t="s">
        <v>201</v>
      </c>
      <c r="BC98" t="s">
        <v>317</v>
      </c>
      <c r="BE98" t="s">
        <v>229</v>
      </c>
      <c r="BF98" t="s">
        <v>197</v>
      </c>
      <c r="BG98" t="s">
        <v>230</v>
      </c>
      <c r="BH98" t="s">
        <v>299</v>
      </c>
      <c r="BJ98" t="s">
        <v>205</v>
      </c>
      <c r="BK98" t="s">
        <v>206</v>
      </c>
      <c r="BL98" t="s">
        <v>194</v>
      </c>
      <c r="BO98" t="s">
        <v>216</v>
      </c>
      <c r="BP98" t="s">
        <v>216</v>
      </c>
      <c r="BR98" t="s">
        <v>232</v>
      </c>
      <c r="BT98" t="s">
        <v>197</v>
      </c>
      <c r="BV98" t="s">
        <v>233</v>
      </c>
      <c r="CA98" t="s">
        <v>194</v>
      </c>
      <c r="CB98" t="s">
        <v>194</v>
      </c>
      <c r="CC98" t="s">
        <v>264</v>
      </c>
      <c r="CD98" t="s">
        <v>265</v>
      </c>
      <c r="CE98" t="s">
        <v>266</v>
      </c>
      <c r="CF98" t="s">
        <v>215</v>
      </c>
      <c r="CH98" t="s">
        <v>214</v>
      </c>
      <c r="CI98" t="s">
        <v>214</v>
      </c>
      <c r="CJ98" t="s">
        <v>214</v>
      </c>
      <c r="CP98" t="s">
        <v>214</v>
      </c>
      <c r="CS98" t="s">
        <v>216</v>
      </c>
      <c r="CV98" t="s">
        <v>214</v>
      </c>
      <c r="CW98" t="s">
        <v>214</v>
      </c>
      <c r="CX98" t="s">
        <v>217</v>
      </c>
      <c r="CY98" t="s">
        <v>194</v>
      </c>
      <c r="DA98" t="s">
        <v>218</v>
      </c>
    </row>
    <row r="99" spans="1:105" x14ac:dyDescent="0.3">
      <c r="A99">
        <v>1226887</v>
      </c>
      <c r="B99">
        <v>932330</v>
      </c>
      <c r="C99" t="str">
        <f>"070220551145"</f>
        <v>070220551145</v>
      </c>
      <c r="D99" t="s">
        <v>565</v>
      </c>
      <c r="E99" t="s">
        <v>506</v>
      </c>
      <c r="F99" t="s">
        <v>355</v>
      </c>
      <c r="G99" s="1">
        <v>39133</v>
      </c>
      <c r="I99" t="s">
        <v>187</v>
      </c>
      <c r="J99" t="s">
        <v>188</v>
      </c>
      <c r="K99" t="s">
        <v>338</v>
      </c>
      <c r="Y99" t="str">
        <f>"2014-09-01T00:00:00"</f>
        <v>2014-09-01T00:00:00</v>
      </c>
      <c r="Z99" t="str">
        <f>"№76"</f>
        <v>№76</v>
      </c>
      <c r="AA99" t="s">
        <v>331</v>
      </c>
      <c r="AB99" t="str">
        <f>"akm_arshalu_novoaleksandrovka@mail.ru"</f>
        <v>akm_arshalu_novoaleksandrovka@mail.ru</v>
      </c>
      <c r="AC99" t="s">
        <v>225</v>
      </c>
      <c r="AD99" t="s">
        <v>192</v>
      </c>
      <c r="AE99" t="s">
        <v>193</v>
      </c>
      <c r="AF99" t="s">
        <v>194</v>
      </c>
      <c r="AH99" t="s">
        <v>195</v>
      </c>
      <c r="AI99">
        <v>1</v>
      </c>
      <c r="AJ99" t="s">
        <v>196</v>
      </c>
      <c r="AK99" t="s">
        <v>194</v>
      </c>
      <c r="AL99" t="s">
        <v>197</v>
      </c>
      <c r="AM99" t="s">
        <v>228</v>
      </c>
      <c r="AR99" t="s">
        <v>194</v>
      </c>
      <c r="AS99" t="s">
        <v>199</v>
      </c>
      <c r="AU99" t="s">
        <v>197</v>
      </c>
      <c r="AZ99" t="s">
        <v>194</v>
      </c>
      <c r="BA99" t="s">
        <v>200</v>
      </c>
      <c r="BB99" t="s">
        <v>201</v>
      </c>
      <c r="BD99" t="s">
        <v>200</v>
      </c>
      <c r="BE99" t="s">
        <v>202</v>
      </c>
      <c r="BF99" t="s">
        <v>197</v>
      </c>
      <c r="BG99" t="s">
        <v>238</v>
      </c>
      <c r="BH99">
        <v>4</v>
      </c>
      <c r="BJ99" t="s">
        <v>205</v>
      </c>
      <c r="BK99" t="s">
        <v>206</v>
      </c>
      <c r="BL99" t="s">
        <v>194</v>
      </c>
      <c r="BO99" t="s">
        <v>216</v>
      </c>
      <c r="BP99" t="s">
        <v>216</v>
      </c>
      <c r="BR99" t="s">
        <v>232</v>
      </c>
      <c r="BT99" t="s">
        <v>197</v>
      </c>
      <c r="BV99" t="s">
        <v>233</v>
      </c>
      <c r="CA99" t="s">
        <v>194</v>
      </c>
      <c r="CB99" t="s">
        <v>214</v>
      </c>
      <c r="CF99" t="s">
        <v>215</v>
      </c>
      <c r="CH99" t="s">
        <v>214</v>
      </c>
      <c r="CI99" t="s">
        <v>214</v>
      </c>
      <c r="CJ99" t="s">
        <v>214</v>
      </c>
      <c r="CP99" t="s">
        <v>214</v>
      </c>
      <c r="CS99" t="s">
        <v>566</v>
      </c>
      <c r="CT99" t="str">
        <f>"№799"</f>
        <v>№799</v>
      </c>
      <c r="CU99" t="str">
        <f>"2016-08-16T00:00:00"</f>
        <v>2016-08-16T00:00:00</v>
      </c>
      <c r="CV99" t="s">
        <v>214</v>
      </c>
      <c r="CW99" t="s">
        <v>214</v>
      </c>
      <c r="CX99" t="s">
        <v>217</v>
      </c>
      <c r="CY99" t="s">
        <v>214</v>
      </c>
      <c r="DA99" t="s">
        <v>218</v>
      </c>
    </row>
    <row r="100" spans="1:105" x14ac:dyDescent="0.3">
      <c r="A100">
        <v>1226910</v>
      </c>
      <c r="B100">
        <v>613909</v>
      </c>
      <c r="C100" t="str">
        <f>"120404504086"</f>
        <v>120404504086</v>
      </c>
      <c r="D100" t="s">
        <v>567</v>
      </c>
      <c r="E100" t="s">
        <v>488</v>
      </c>
      <c r="F100" t="s">
        <v>568</v>
      </c>
      <c r="G100" s="1">
        <v>41003</v>
      </c>
      <c r="I100" t="s">
        <v>187</v>
      </c>
      <c r="J100" t="s">
        <v>188</v>
      </c>
      <c r="K100" t="s">
        <v>189</v>
      </c>
      <c r="Y100" t="str">
        <f>"2018-08-27T00:00:00"</f>
        <v>2018-08-27T00:00:00</v>
      </c>
      <c r="Z100" t="str">
        <f>"№21"</f>
        <v>№21</v>
      </c>
      <c r="AA100" t="s">
        <v>224</v>
      </c>
      <c r="AC100" t="s">
        <v>191</v>
      </c>
      <c r="AD100" t="s">
        <v>285</v>
      </c>
      <c r="AE100" t="s">
        <v>227</v>
      </c>
      <c r="AF100" t="s">
        <v>194</v>
      </c>
      <c r="AH100" t="s">
        <v>195</v>
      </c>
      <c r="AI100">
        <v>1</v>
      </c>
      <c r="AJ100" t="s">
        <v>196</v>
      </c>
      <c r="AK100" t="s">
        <v>194</v>
      </c>
      <c r="AL100" t="s">
        <v>197</v>
      </c>
      <c r="AM100" t="s">
        <v>228</v>
      </c>
      <c r="AR100" t="s">
        <v>194</v>
      </c>
      <c r="AS100" t="s">
        <v>199</v>
      </c>
      <c r="AU100" t="s">
        <v>197</v>
      </c>
      <c r="AZ100" t="s">
        <v>194</v>
      </c>
      <c r="BA100" t="s">
        <v>200</v>
      </c>
      <c r="BB100" t="s">
        <v>201</v>
      </c>
      <c r="BD100" t="s">
        <v>200</v>
      </c>
      <c r="BE100" t="s">
        <v>229</v>
      </c>
      <c r="BF100" t="s">
        <v>197</v>
      </c>
      <c r="BG100" t="s">
        <v>238</v>
      </c>
      <c r="BH100">
        <v>4</v>
      </c>
      <c r="BJ100" t="s">
        <v>205</v>
      </c>
      <c r="BK100" t="s">
        <v>206</v>
      </c>
      <c r="BL100" t="s">
        <v>194</v>
      </c>
      <c r="BO100" t="s">
        <v>216</v>
      </c>
      <c r="BP100" t="s">
        <v>216</v>
      </c>
      <c r="BQ100" t="s">
        <v>280</v>
      </c>
      <c r="BR100" t="s">
        <v>232</v>
      </c>
      <c r="BT100" t="s">
        <v>197</v>
      </c>
      <c r="BV100" t="s">
        <v>233</v>
      </c>
      <c r="CA100" t="s">
        <v>194</v>
      </c>
      <c r="CB100" t="s">
        <v>194</v>
      </c>
      <c r="CC100" t="s">
        <v>264</v>
      </c>
      <c r="CD100" t="s">
        <v>265</v>
      </c>
      <c r="CE100" t="s">
        <v>266</v>
      </c>
      <c r="CF100" t="s">
        <v>215</v>
      </c>
      <c r="CH100" t="s">
        <v>214</v>
      </c>
      <c r="CI100" t="s">
        <v>214</v>
      </c>
      <c r="CJ100" t="s">
        <v>214</v>
      </c>
      <c r="CP100" t="s">
        <v>214</v>
      </c>
      <c r="CS100" t="s">
        <v>216</v>
      </c>
      <c r="CV100" t="s">
        <v>214</v>
      </c>
      <c r="CW100" t="s">
        <v>214</v>
      </c>
      <c r="CX100" t="s">
        <v>217</v>
      </c>
      <c r="CY100" t="s">
        <v>214</v>
      </c>
      <c r="DA100" t="s">
        <v>218</v>
      </c>
    </row>
    <row r="101" spans="1:105" x14ac:dyDescent="0.3">
      <c r="A101">
        <v>1226932</v>
      </c>
      <c r="B101">
        <v>614174</v>
      </c>
      <c r="C101" t="str">
        <f>"120712604651"</f>
        <v>120712604651</v>
      </c>
      <c r="D101" t="s">
        <v>569</v>
      </c>
      <c r="E101" t="s">
        <v>570</v>
      </c>
      <c r="F101" t="s">
        <v>571</v>
      </c>
      <c r="G101" s="1">
        <v>41102</v>
      </c>
      <c r="I101" t="s">
        <v>222</v>
      </c>
      <c r="J101" t="s">
        <v>188</v>
      </c>
      <c r="K101" t="s">
        <v>189</v>
      </c>
      <c r="Y101" t="str">
        <f>"2018-08-15T00:00:00"</f>
        <v>2018-08-15T00:00:00</v>
      </c>
      <c r="Z101" t="str">
        <f>"№20"</f>
        <v>№20</v>
      </c>
      <c r="AA101" t="s">
        <v>224</v>
      </c>
      <c r="AC101" t="s">
        <v>191</v>
      </c>
      <c r="AD101" t="s">
        <v>285</v>
      </c>
      <c r="AE101" t="s">
        <v>193</v>
      </c>
      <c r="AF101" t="s">
        <v>194</v>
      </c>
      <c r="AH101" t="s">
        <v>195</v>
      </c>
      <c r="AI101">
        <v>2</v>
      </c>
      <c r="AJ101" t="s">
        <v>196</v>
      </c>
      <c r="AK101" t="s">
        <v>194</v>
      </c>
      <c r="AL101" t="s">
        <v>197</v>
      </c>
      <c r="AM101" t="s">
        <v>228</v>
      </c>
      <c r="AR101" t="s">
        <v>194</v>
      </c>
      <c r="AS101" t="s">
        <v>199</v>
      </c>
      <c r="AU101" t="s">
        <v>197</v>
      </c>
      <c r="AZ101" t="s">
        <v>194</v>
      </c>
      <c r="BA101" t="s">
        <v>200</v>
      </c>
      <c r="BB101" t="s">
        <v>201</v>
      </c>
      <c r="BD101" t="s">
        <v>200</v>
      </c>
      <c r="BE101" t="s">
        <v>229</v>
      </c>
      <c r="BF101" t="s">
        <v>197</v>
      </c>
      <c r="BG101" t="s">
        <v>269</v>
      </c>
      <c r="BH101" t="s">
        <v>270</v>
      </c>
      <c r="BJ101" t="s">
        <v>205</v>
      </c>
      <c r="BK101" t="s">
        <v>206</v>
      </c>
      <c r="BL101" t="s">
        <v>194</v>
      </c>
      <c r="BO101" t="s">
        <v>200</v>
      </c>
      <c r="BP101" t="s">
        <v>200</v>
      </c>
      <c r="BQ101" t="s">
        <v>286</v>
      </c>
      <c r="BR101" t="s">
        <v>232</v>
      </c>
      <c r="BT101" t="s">
        <v>197</v>
      </c>
      <c r="BV101" t="s">
        <v>415</v>
      </c>
      <c r="BW101" t="s">
        <v>416</v>
      </c>
      <c r="BX101" t="s">
        <v>211</v>
      </c>
      <c r="BY101" t="s">
        <v>534</v>
      </c>
      <c r="BZ101" t="s">
        <v>572</v>
      </c>
      <c r="CA101" t="s">
        <v>194</v>
      </c>
      <c r="CB101" t="s">
        <v>194</v>
      </c>
      <c r="CC101" t="s">
        <v>264</v>
      </c>
      <c r="CD101" t="s">
        <v>265</v>
      </c>
      <c r="CE101" t="s">
        <v>266</v>
      </c>
      <c r="CF101" t="s">
        <v>215</v>
      </c>
      <c r="CH101" t="s">
        <v>214</v>
      </c>
      <c r="CI101" t="s">
        <v>214</v>
      </c>
      <c r="CJ101" t="s">
        <v>214</v>
      </c>
      <c r="CP101" t="s">
        <v>214</v>
      </c>
      <c r="CS101" t="s">
        <v>216</v>
      </c>
      <c r="CV101" t="s">
        <v>214</v>
      </c>
      <c r="CW101" t="s">
        <v>214</v>
      </c>
      <c r="CX101" t="s">
        <v>217</v>
      </c>
      <c r="CY101" t="s">
        <v>214</v>
      </c>
      <c r="DA101" t="s">
        <v>218</v>
      </c>
    </row>
    <row r="102" spans="1:105" x14ac:dyDescent="0.3">
      <c r="A102">
        <v>1226950</v>
      </c>
      <c r="B102">
        <v>614214</v>
      </c>
      <c r="C102" t="str">
        <f>"120517501738"</f>
        <v>120517501738</v>
      </c>
      <c r="D102" t="s">
        <v>287</v>
      </c>
      <c r="E102" t="s">
        <v>573</v>
      </c>
      <c r="F102" t="s">
        <v>529</v>
      </c>
      <c r="G102" s="1">
        <v>41046</v>
      </c>
      <c r="I102" t="s">
        <v>187</v>
      </c>
      <c r="J102" t="s">
        <v>188</v>
      </c>
      <c r="K102" t="s">
        <v>223</v>
      </c>
      <c r="Y102" t="str">
        <f>"2018-08-06T00:00:00"</f>
        <v>2018-08-06T00:00:00</v>
      </c>
      <c r="Z102" t="str">
        <f>"№19"</f>
        <v>№19</v>
      </c>
      <c r="AA102" t="s">
        <v>224</v>
      </c>
      <c r="AC102" t="s">
        <v>191</v>
      </c>
      <c r="AD102" t="s">
        <v>285</v>
      </c>
      <c r="AE102" t="s">
        <v>227</v>
      </c>
      <c r="AF102" t="s">
        <v>194</v>
      </c>
      <c r="AH102" t="s">
        <v>195</v>
      </c>
      <c r="AI102">
        <v>2</v>
      </c>
      <c r="AJ102" t="s">
        <v>196</v>
      </c>
      <c r="AK102" t="s">
        <v>194</v>
      </c>
      <c r="AL102" t="s">
        <v>197</v>
      </c>
      <c r="AM102" t="s">
        <v>228</v>
      </c>
      <c r="AR102" t="s">
        <v>194</v>
      </c>
      <c r="AS102" t="s">
        <v>199</v>
      </c>
      <c r="AU102" t="s">
        <v>197</v>
      </c>
      <c r="AZ102" t="s">
        <v>194</v>
      </c>
      <c r="BA102" t="s">
        <v>200</v>
      </c>
      <c r="BB102" t="s">
        <v>201</v>
      </c>
      <c r="BD102" t="s">
        <v>200</v>
      </c>
      <c r="BE102" t="s">
        <v>229</v>
      </c>
      <c r="BF102" t="s">
        <v>197</v>
      </c>
      <c r="BG102" t="s">
        <v>238</v>
      </c>
      <c r="BH102">
        <v>4</v>
      </c>
      <c r="BJ102" t="s">
        <v>205</v>
      </c>
      <c r="BK102" t="s">
        <v>206</v>
      </c>
      <c r="BL102" t="s">
        <v>194</v>
      </c>
      <c r="BO102" t="s">
        <v>200</v>
      </c>
      <c r="BP102" t="s">
        <v>200</v>
      </c>
      <c r="BQ102" t="s">
        <v>286</v>
      </c>
      <c r="BR102" t="s">
        <v>232</v>
      </c>
      <c r="BT102" t="s">
        <v>197</v>
      </c>
      <c r="BV102" t="s">
        <v>415</v>
      </c>
      <c r="BW102" t="s">
        <v>416</v>
      </c>
      <c r="BX102" t="s">
        <v>574</v>
      </c>
      <c r="BY102" t="s">
        <v>212</v>
      </c>
      <c r="BZ102" t="s">
        <v>575</v>
      </c>
      <c r="CA102" t="s">
        <v>194</v>
      </c>
      <c r="CB102" t="s">
        <v>194</v>
      </c>
      <c r="CC102" t="s">
        <v>264</v>
      </c>
      <c r="CD102" t="s">
        <v>265</v>
      </c>
      <c r="CE102" t="s">
        <v>266</v>
      </c>
      <c r="CF102" t="s">
        <v>215</v>
      </c>
      <c r="CH102" t="s">
        <v>214</v>
      </c>
      <c r="CI102" t="s">
        <v>214</v>
      </c>
      <c r="CJ102" t="s">
        <v>214</v>
      </c>
      <c r="CP102" t="s">
        <v>214</v>
      </c>
      <c r="CS102" t="s">
        <v>216</v>
      </c>
      <c r="CV102" t="s">
        <v>214</v>
      </c>
      <c r="CW102" t="s">
        <v>214</v>
      </c>
      <c r="CX102" t="s">
        <v>217</v>
      </c>
      <c r="CY102" t="s">
        <v>214</v>
      </c>
      <c r="DA102" t="s">
        <v>218</v>
      </c>
    </row>
    <row r="103" spans="1:105" x14ac:dyDescent="0.3">
      <c r="A103">
        <v>1226971</v>
      </c>
      <c r="B103">
        <v>614412</v>
      </c>
      <c r="C103" t="str">
        <f>"121119602119"</f>
        <v>121119602119</v>
      </c>
      <c r="D103" t="s">
        <v>448</v>
      </c>
      <c r="E103" t="s">
        <v>576</v>
      </c>
      <c r="F103" t="s">
        <v>450</v>
      </c>
      <c r="G103" s="1">
        <v>41232</v>
      </c>
      <c r="I103" t="s">
        <v>222</v>
      </c>
      <c r="J103" t="s">
        <v>188</v>
      </c>
      <c r="K103" t="s">
        <v>189</v>
      </c>
      <c r="Y103" t="str">
        <f>"2018-08-27T00:00:00"</f>
        <v>2018-08-27T00:00:00</v>
      </c>
      <c r="Z103" t="str">
        <f>"№21"</f>
        <v>№21</v>
      </c>
      <c r="AA103" t="s">
        <v>224</v>
      </c>
      <c r="AC103" t="s">
        <v>191</v>
      </c>
      <c r="AD103" t="s">
        <v>285</v>
      </c>
      <c r="AE103" t="s">
        <v>227</v>
      </c>
      <c r="AF103" t="s">
        <v>194</v>
      </c>
      <c r="AH103" t="s">
        <v>195</v>
      </c>
      <c r="AI103">
        <v>2</v>
      </c>
      <c r="AJ103" t="s">
        <v>196</v>
      </c>
      <c r="AK103" t="s">
        <v>194</v>
      </c>
      <c r="AL103" t="s">
        <v>197</v>
      </c>
      <c r="AM103" t="s">
        <v>228</v>
      </c>
      <c r="AR103" t="s">
        <v>194</v>
      </c>
      <c r="AS103" t="s">
        <v>199</v>
      </c>
      <c r="AU103" t="s">
        <v>197</v>
      </c>
      <c r="AZ103" t="s">
        <v>194</v>
      </c>
      <c r="BA103" t="s">
        <v>200</v>
      </c>
      <c r="BB103" t="s">
        <v>201</v>
      </c>
      <c r="BD103" t="s">
        <v>200</v>
      </c>
      <c r="BE103" t="s">
        <v>229</v>
      </c>
      <c r="BF103" t="s">
        <v>197</v>
      </c>
      <c r="BG103" t="s">
        <v>238</v>
      </c>
      <c r="BH103">
        <v>4</v>
      </c>
      <c r="BJ103" t="s">
        <v>205</v>
      </c>
      <c r="BK103" t="s">
        <v>206</v>
      </c>
      <c r="BL103" t="s">
        <v>194</v>
      </c>
      <c r="BO103" t="s">
        <v>216</v>
      </c>
      <c r="BP103" t="s">
        <v>216</v>
      </c>
      <c r="BQ103" t="s">
        <v>286</v>
      </c>
      <c r="BR103" t="s">
        <v>232</v>
      </c>
      <c r="BT103" t="s">
        <v>197</v>
      </c>
      <c r="BV103" t="s">
        <v>233</v>
      </c>
      <c r="CA103" t="s">
        <v>194</v>
      </c>
      <c r="CB103" t="s">
        <v>194</v>
      </c>
      <c r="CC103" t="s">
        <v>264</v>
      </c>
      <c r="CD103" t="s">
        <v>265</v>
      </c>
      <c r="CE103" t="s">
        <v>266</v>
      </c>
      <c r="CF103" t="s">
        <v>215</v>
      </c>
      <c r="CH103" t="s">
        <v>214</v>
      </c>
      <c r="CI103" t="s">
        <v>214</v>
      </c>
      <c r="CJ103" t="s">
        <v>214</v>
      </c>
      <c r="CP103" t="s">
        <v>214</v>
      </c>
      <c r="CS103" t="s">
        <v>216</v>
      </c>
      <c r="CV103" t="s">
        <v>214</v>
      </c>
      <c r="CW103" t="s">
        <v>214</v>
      </c>
      <c r="CX103" t="s">
        <v>217</v>
      </c>
      <c r="CY103" t="s">
        <v>214</v>
      </c>
      <c r="DA103" t="s">
        <v>218</v>
      </c>
    </row>
    <row r="104" spans="1:105" x14ac:dyDescent="0.3">
      <c r="A104">
        <v>1227003</v>
      </c>
      <c r="B104">
        <v>614598</v>
      </c>
      <c r="C104" t="str">
        <f>"100927552373"</f>
        <v>100927552373</v>
      </c>
      <c r="D104" t="s">
        <v>577</v>
      </c>
      <c r="E104" t="s">
        <v>578</v>
      </c>
      <c r="F104" t="s">
        <v>579</v>
      </c>
      <c r="G104" s="1">
        <v>40448</v>
      </c>
      <c r="I104" t="s">
        <v>187</v>
      </c>
      <c r="J104" t="s">
        <v>188</v>
      </c>
      <c r="K104" t="s">
        <v>189</v>
      </c>
      <c r="Y104" t="str">
        <f>"2017-09-05T00:00:00"</f>
        <v>2017-09-05T00:00:00</v>
      </c>
      <c r="Z104" t="str">
        <f>"№ 35"</f>
        <v>№ 35</v>
      </c>
      <c r="AA104" t="s">
        <v>224</v>
      </c>
      <c r="AC104" t="s">
        <v>191</v>
      </c>
      <c r="AD104" t="s">
        <v>261</v>
      </c>
      <c r="AE104" t="s">
        <v>193</v>
      </c>
      <c r="AF104" t="s">
        <v>194</v>
      </c>
      <c r="AH104" t="s">
        <v>195</v>
      </c>
      <c r="AI104">
        <v>2</v>
      </c>
      <c r="AJ104" t="s">
        <v>196</v>
      </c>
      <c r="AK104" t="s">
        <v>194</v>
      </c>
      <c r="AL104" t="s">
        <v>197</v>
      </c>
      <c r="AM104" t="s">
        <v>198</v>
      </c>
      <c r="AR104" t="s">
        <v>194</v>
      </c>
      <c r="AS104" t="s">
        <v>199</v>
      </c>
      <c r="AU104" t="s">
        <v>197</v>
      </c>
      <c r="AZ104" t="s">
        <v>194</v>
      </c>
      <c r="BA104" t="s">
        <v>200</v>
      </c>
      <c r="BB104" t="s">
        <v>201</v>
      </c>
      <c r="BD104" t="s">
        <v>200</v>
      </c>
      <c r="BE104" t="s">
        <v>229</v>
      </c>
      <c r="BF104" t="s">
        <v>197</v>
      </c>
      <c r="BG104" t="s">
        <v>269</v>
      </c>
      <c r="BH104" t="s">
        <v>270</v>
      </c>
      <c r="BJ104" t="s">
        <v>205</v>
      </c>
      <c r="BK104" t="s">
        <v>206</v>
      </c>
      <c r="BL104" t="s">
        <v>194</v>
      </c>
      <c r="BO104" t="s">
        <v>200</v>
      </c>
      <c r="BP104" t="s">
        <v>200</v>
      </c>
      <c r="BR104" t="s">
        <v>246</v>
      </c>
      <c r="BS104" t="s">
        <v>208</v>
      </c>
      <c r="BT104" t="s">
        <v>197</v>
      </c>
      <c r="BV104" t="s">
        <v>233</v>
      </c>
      <c r="CA104" t="s">
        <v>194</v>
      </c>
      <c r="CB104" t="s">
        <v>214</v>
      </c>
      <c r="CF104" t="s">
        <v>215</v>
      </c>
      <c r="CH104" t="s">
        <v>214</v>
      </c>
      <c r="CI104" t="s">
        <v>214</v>
      </c>
      <c r="CJ104" t="s">
        <v>214</v>
      </c>
      <c r="CP104" t="s">
        <v>214</v>
      </c>
      <c r="CS104" t="s">
        <v>216</v>
      </c>
      <c r="CV104" t="s">
        <v>214</v>
      </c>
      <c r="CW104" t="s">
        <v>214</v>
      </c>
      <c r="CX104" t="s">
        <v>217</v>
      </c>
      <c r="CY104" t="s">
        <v>214</v>
      </c>
      <c r="DA104" t="s">
        <v>218</v>
      </c>
    </row>
    <row r="105" spans="1:105" x14ac:dyDescent="0.3">
      <c r="A105">
        <v>1227044</v>
      </c>
      <c r="B105">
        <v>614678</v>
      </c>
      <c r="C105" t="str">
        <f>"100208652955"</f>
        <v>100208652955</v>
      </c>
      <c r="D105" t="s">
        <v>580</v>
      </c>
      <c r="E105" t="s">
        <v>581</v>
      </c>
      <c r="F105" t="s">
        <v>582</v>
      </c>
      <c r="G105" s="1">
        <v>40217</v>
      </c>
      <c r="I105" t="s">
        <v>222</v>
      </c>
      <c r="J105" t="s">
        <v>188</v>
      </c>
      <c r="K105" t="s">
        <v>345</v>
      </c>
      <c r="Y105" t="str">
        <f>"2015-09-01T00:00:00"</f>
        <v>2015-09-01T00:00:00</v>
      </c>
      <c r="Z105" t="str">
        <f>"№46"</f>
        <v>№46</v>
      </c>
      <c r="AA105" t="s">
        <v>224</v>
      </c>
      <c r="AC105" t="s">
        <v>225</v>
      </c>
      <c r="AD105" t="s">
        <v>242</v>
      </c>
      <c r="AE105" t="s">
        <v>227</v>
      </c>
      <c r="AF105" t="s">
        <v>194</v>
      </c>
      <c r="AH105" t="s">
        <v>195</v>
      </c>
      <c r="AI105">
        <v>1</v>
      </c>
      <c r="AJ105" t="s">
        <v>196</v>
      </c>
      <c r="AK105" t="s">
        <v>194</v>
      </c>
      <c r="AL105" t="s">
        <v>197</v>
      </c>
      <c r="AM105" t="s">
        <v>228</v>
      </c>
      <c r="AR105" t="s">
        <v>194</v>
      </c>
      <c r="AS105" t="s">
        <v>199</v>
      </c>
      <c r="AU105" t="s">
        <v>197</v>
      </c>
      <c r="AZ105" t="s">
        <v>194</v>
      </c>
      <c r="BA105" t="s">
        <v>200</v>
      </c>
      <c r="BB105" t="s">
        <v>201</v>
      </c>
      <c r="BD105" t="s">
        <v>200</v>
      </c>
      <c r="BE105" t="s">
        <v>229</v>
      </c>
      <c r="BF105" t="s">
        <v>197</v>
      </c>
      <c r="BG105" t="s">
        <v>230</v>
      </c>
      <c r="BH105" t="s">
        <v>307</v>
      </c>
      <c r="BJ105" t="s">
        <v>205</v>
      </c>
      <c r="BK105" t="s">
        <v>206</v>
      </c>
      <c r="BL105" t="s">
        <v>194</v>
      </c>
      <c r="BO105" t="s">
        <v>216</v>
      </c>
      <c r="BP105" t="s">
        <v>216</v>
      </c>
      <c r="BR105" t="s">
        <v>232</v>
      </c>
      <c r="BT105" t="s">
        <v>197</v>
      </c>
      <c r="BV105" t="s">
        <v>233</v>
      </c>
      <c r="CA105" t="s">
        <v>194</v>
      </c>
      <c r="CB105" t="s">
        <v>214</v>
      </c>
      <c r="CF105" t="s">
        <v>215</v>
      </c>
      <c r="CH105" t="s">
        <v>214</v>
      </c>
      <c r="CI105" t="s">
        <v>214</v>
      </c>
      <c r="CJ105" t="s">
        <v>214</v>
      </c>
      <c r="CP105" t="s">
        <v>214</v>
      </c>
      <c r="CS105" t="s">
        <v>216</v>
      </c>
      <c r="CV105" t="s">
        <v>214</v>
      </c>
      <c r="CW105" t="s">
        <v>214</v>
      </c>
      <c r="CX105" t="s">
        <v>217</v>
      </c>
      <c r="CY105" t="s">
        <v>214</v>
      </c>
      <c r="DA105" t="s">
        <v>218</v>
      </c>
    </row>
    <row r="106" spans="1:105" x14ac:dyDescent="0.3">
      <c r="A106">
        <v>1227066</v>
      </c>
      <c r="B106">
        <v>614756</v>
      </c>
      <c r="C106" t="str">
        <f>"100311553520"</f>
        <v>100311553520</v>
      </c>
      <c r="D106" t="s">
        <v>583</v>
      </c>
      <c r="E106" t="s">
        <v>584</v>
      </c>
      <c r="F106" t="s">
        <v>585</v>
      </c>
      <c r="G106" s="1">
        <v>40248</v>
      </c>
      <c r="I106" t="s">
        <v>187</v>
      </c>
      <c r="J106" t="s">
        <v>188</v>
      </c>
      <c r="K106" t="s">
        <v>189</v>
      </c>
      <c r="Y106" t="str">
        <f>"2016-09-01T00:00:00"</f>
        <v>2016-09-01T00:00:00</v>
      </c>
      <c r="Z106" t="str">
        <f>"№45"</f>
        <v>№45</v>
      </c>
      <c r="AA106" t="s">
        <v>314</v>
      </c>
      <c r="AC106" t="s">
        <v>237</v>
      </c>
      <c r="AD106" t="s">
        <v>261</v>
      </c>
      <c r="AE106" t="s">
        <v>227</v>
      </c>
      <c r="AF106" t="s">
        <v>194</v>
      </c>
      <c r="AH106" t="s">
        <v>195</v>
      </c>
      <c r="AI106">
        <v>2</v>
      </c>
      <c r="AJ106" t="s">
        <v>196</v>
      </c>
      <c r="AK106" t="s">
        <v>194</v>
      </c>
      <c r="AL106" t="s">
        <v>197</v>
      </c>
      <c r="AM106" t="s">
        <v>228</v>
      </c>
      <c r="AR106" t="s">
        <v>194</v>
      </c>
      <c r="AS106" t="s">
        <v>199</v>
      </c>
      <c r="AU106" t="s">
        <v>197</v>
      </c>
      <c r="AZ106" t="s">
        <v>194</v>
      </c>
      <c r="BA106" t="s">
        <v>200</v>
      </c>
      <c r="BB106" t="s">
        <v>201</v>
      </c>
      <c r="BD106" t="s">
        <v>200</v>
      </c>
      <c r="BE106" t="s">
        <v>202</v>
      </c>
      <c r="BF106" t="s">
        <v>197</v>
      </c>
      <c r="BG106" t="s">
        <v>238</v>
      </c>
      <c r="BH106">
        <v>3</v>
      </c>
      <c r="BJ106" t="s">
        <v>205</v>
      </c>
      <c r="BK106" t="s">
        <v>206</v>
      </c>
      <c r="BL106" t="s">
        <v>194</v>
      </c>
      <c r="BO106" t="s">
        <v>200</v>
      </c>
      <c r="BP106" t="s">
        <v>200</v>
      </c>
      <c r="BR106" t="s">
        <v>246</v>
      </c>
      <c r="BS106" t="s">
        <v>208</v>
      </c>
      <c r="BT106" t="s">
        <v>197</v>
      </c>
      <c r="BV106" t="s">
        <v>233</v>
      </c>
      <c r="CA106" t="s">
        <v>194</v>
      </c>
      <c r="CB106" t="s">
        <v>194</v>
      </c>
      <c r="CC106" t="s">
        <v>264</v>
      </c>
      <c r="CD106" t="s">
        <v>265</v>
      </c>
      <c r="CE106" t="s">
        <v>266</v>
      </c>
      <c r="CF106" t="s">
        <v>215</v>
      </c>
      <c r="CH106" t="s">
        <v>214</v>
      </c>
      <c r="CI106" t="s">
        <v>214</v>
      </c>
      <c r="CJ106" t="s">
        <v>214</v>
      </c>
      <c r="CP106" t="s">
        <v>214</v>
      </c>
      <c r="CS106" t="s">
        <v>586</v>
      </c>
      <c r="CT106" t="str">
        <f>"1203"</f>
        <v>1203</v>
      </c>
      <c r="CU106" t="str">
        <f>"2017-11-14T00:00:00"</f>
        <v>2017-11-14T00:00:00</v>
      </c>
      <c r="CV106" t="s">
        <v>214</v>
      </c>
      <c r="CW106" t="s">
        <v>214</v>
      </c>
      <c r="CX106" t="s">
        <v>217</v>
      </c>
      <c r="CY106" t="s">
        <v>214</v>
      </c>
      <c r="DA106" t="s">
        <v>218</v>
      </c>
    </row>
    <row r="107" spans="1:105" x14ac:dyDescent="0.3">
      <c r="A107">
        <v>1227097</v>
      </c>
      <c r="B107">
        <v>45349</v>
      </c>
      <c r="C107" t="str">
        <f>"090808553974"</f>
        <v>090808553974</v>
      </c>
      <c r="D107" t="s">
        <v>587</v>
      </c>
      <c r="E107" t="s">
        <v>588</v>
      </c>
      <c r="F107" t="s">
        <v>589</v>
      </c>
      <c r="G107" s="1">
        <v>40033</v>
      </c>
      <c r="I107" t="s">
        <v>187</v>
      </c>
      <c r="J107" t="s">
        <v>188</v>
      </c>
      <c r="K107" t="s">
        <v>189</v>
      </c>
      <c r="Y107" t="str">
        <f>"2016-09-01T00:00:00"</f>
        <v>2016-09-01T00:00:00</v>
      </c>
      <c r="Z107" t="str">
        <f>"№45"</f>
        <v>№45</v>
      </c>
      <c r="AA107" t="s">
        <v>224</v>
      </c>
      <c r="AC107" t="s">
        <v>225</v>
      </c>
      <c r="AD107" t="s">
        <v>242</v>
      </c>
      <c r="AE107" t="s">
        <v>227</v>
      </c>
      <c r="AF107" t="s">
        <v>194</v>
      </c>
      <c r="AH107" t="s">
        <v>195</v>
      </c>
      <c r="AI107">
        <v>2</v>
      </c>
      <c r="AJ107" t="s">
        <v>196</v>
      </c>
      <c r="AK107" t="s">
        <v>194</v>
      </c>
      <c r="AL107" t="s">
        <v>197</v>
      </c>
      <c r="AM107" t="s">
        <v>228</v>
      </c>
      <c r="AR107" t="s">
        <v>194</v>
      </c>
      <c r="AS107" t="s">
        <v>199</v>
      </c>
      <c r="AU107" t="s">
        <v>197</v>
      </c>
      <c r="AZ107" t="s">
        <v>194</v>
      </c>
      <c r="BA107" t="s">
        <v>200</v>
      </c>
      <c r="BB107" t="s">
        <v>201</v>
      </c>
      <c r="BD107" t="s">
        <v>200</v>
      </c>
      <c r="BE107" t="s">
        <v>244</v>
      </c>
      <c r="BF107" t="s">
        <v>197</v>
      </c>
      <c r="BG107" t="s">
        <v>230</v>
      </c>
      <c r="BH107" t="s">
        <v>245</v>
      </c>
      <c r="BJ107" t="s">
        <v>205</v>
      </c>
      <c r="BK107" t="s">
        <v>206</v>
      </c>
      <c r="BL107" t="s">
        <v>194</v>
      </c>
      <c r="BO107" t="s">
        <v>216</v>
      </c>
      <c r="BP107" t="s">
        <v>216</v>
      </c>
      <c r="BR107" t="s">
        <v>232</v>
      </c>
      <c r="BT107" t="s">
        <v>197</v>
      </c>
      <c r="BV107" t="s">
        <v>233</v>
      </c>
      <c r="CA107" t="s">
        <v>194</v>
      </c>
      <c r="CB107" t="s">
        <v>214</v>
      </c>
      <c r="CF107" t="s">
        <v>215</v>
      </c>
      <c r="CH107" t="s">
        <v>214</v>
      </c>
      <c r="CI107" t="s">
        <v>214</v>
      </c>
      <c r="CJ107" t="s">
        <v>214</v>
      </c>
      <c r="CP107" t="s">
        <v>214</v>
      </c>
      <c r="CS107" t="s">
        <v>216</v>
      </c>
      <c r="CV107" t="s">
        <v>214</v>
      </c>
      <c r="CW107" t="s">
        <v>214</v>
      </c>
      <c r="CX107" t="s">
        <v>217</v>
      </c>
      <c r="CY107" t="s">
        <v>214</v>
      </c>
      <c r="DA107" t="s">
        <v>218</v>
      </c>
    </row>
    <row r="108" spans="1:105" x14ac:dyDescent="0.3">
      <c r="A108">
        <v>1227109</v>
      </c>
      <c r="B108">
        <v>614996</v>
      </c>
      <c r="C108" t="str">
        <f>"110625502832"</f>
        <v>110625502832</v>
      </c>
      <c r="D108" t="s">
        <v>590</v>
      </c>
      <c r="E108" t="s">
        <v>240</v>
      </c>
      <c r="F108" t="s">
        <v>529</v>
      </c>
      <c r="G108" s="1">
        <v>40719</v>
      </c>
      <c r="I108" t="s">
        <v>187</v>
      </c>
      <c r="J108" t="s">
        <v>188</v>
      </c>
      <c r="K108" t="s">
        <v>223</v>
      </c>
      <c r="Y108" t="str">
        <f>"2017-08-21T00:00:00"</f>
        <v>2017-08-21T00:00:00</v>
      </c>
      <c r="Z108" t="str">
        <f>"№27"</f>
        <v>№27</v>
      </c>
      <c r="AA108" t="s">
        <v>224</v>
      </c>
      <c r="AC108" t="s">
        <v>225</v>
      </c>
      <c r="AD108" t="s">
        <v>261</v>
      </c>
      <c r="AE108" t="s">
        <v>243</v>
      </c>
      <c r="AF108" t="s">
        <v>194</v>
      </c>
      <c r="AH108" t="s">
        <v>195</v>
      </c>
      <c r="AI108">
        <v>2</v>
      </c>
      <c r="AJ108" t="s">
        <v>196</v>
      </c>
      <c r="AK108" t="s">
        <v>194</v>
      </c>
      <c r="AL108" t="s">
        <v>197</v>
      </c>
      <c r="AM108" t="s">
        <v>198</v>
      </c>
      <c r="AR108" t="s">
        <v>194</v>
      </c>
      <c r="AS108" t="s">
        <v>199</v>
      </c>
      <c r="AU108" t="s">
        <v>197</v>
      </c>
      <c r="AZ108" t="s">
        <v>194</v>
      </c>
      <c r="BA108" t="s">
        <v>200</v>
      </c>
      <c r="BB108" t="s">
        <v>201</v>
      </c>
      <c r="BD108" t="s">
        <v>200</v>
      </c>
      <c r="BE108" t="s">
        <v>229</v>
      </c>
      <c r="BF108" t="s">
        <v>197</v>
      </c>
      <c r="BG108" t="s">
        <v>269</v>
      </c>
      <c r="BH108" t="s">
        <v>591</v>
      </c>
      <c r="BJ108" t="s">
        <v>205</v>
      </c>
      <c r="BK108" t="s">
        <v>206</v>
      </c>
      <c r="BL108" t="s">
        <v>194</v>
      </c>
      <c r="BO108" t="s">
        <v>200</v>
      </c>
      <c r="BP108" t="s">
        <v>200</v>
      </c>
      <c r="BR108" t="s">
        <v>246</v>
      </c>
      <c r="BS108" t="s">
        <v>208</v>
      </c>
      <c r="BT108" t="s">
        <v>197</v>
      </c>
      <c r="BV108" t="s">
        <v>233</v>
      </c>
      <c r="CA108" t="s">
        <v>194</v>
      </c>
      <c r="CB108" t="s">
        <v>194</v>
      </c>
      <c r="CC108" t="s">
        <v>264</v>
      </c>
      <c r="CD108" t="s">
        <v>265</v>
      </c>
      <c r="CE108" t="s">
        <v>266</v>
      </c>
      <c r="CF108" t="s">
        <v>215</v>
      </c>
      <c r="CH108" t="s">
        <v>214</v>
      </c>
      <c r="CI108" t="s">
        <v>214</v>
      </c>
      <c r="CJ108" t="s">
        <v>214</v>
      </c>
      <c r="CP108" t="s">
        <v>214</v>
      </c>
      <c r="CS108" t="s">
        <v>216</v>
      </c>
      <c r="CV108" t="s">
        <v>214</v>
      </c>
      <c r="CW108" t="s">
        <v>214</v>
      </c>
      <c r="CX108" t="s">
        <v>217</v>
      </c>
      <c r="CY108" t="s">
        <v>214</v>
      </c>
      <c r="DA108" t="s">
        <v>218</v>
      </c>
    </row>
    <row r="109" spans="1:105" x14ac:dyDescent="0.3">
      <c r="A109">
        <v>1227130</v>
      </c>
      <c r="B109">
        <v>615301</v>
      </c>
      <c r="C109" t="str">
        <f>"111014503257"</f>
        <v>111014503257</v>
      </c>
      <c r="D109" t="s">
        <v>592</v>
      </c>
      <c r="E109" t="s">
        <v>593</v>
      </c>
      <c r="F109" t="s">
        <v>447</v>
      </c>
      <c r="G109" s="1">
        <v>40830</v>
      </c>
      <c r="I109" t="s">
        <v>187</v>
      </c>
      <c r="J109" t="s">
        <v>188</v>
      </c>
      <c r="K109" t="s">
        <v>260</v>
      </c>
      <c r="Y109" t="str">
        <f>"2018-08-06T00:00:00"</f>
        <v>2018-08-06T00:00:00</v>
      </c>
      <c r="Z109" t="str">
        <f>"№19"</f>
        <v>№19</v>
      </c>
      <c r="AA109" t="s">
        <v>224</v>
      </c>
      <c r="AC109" t="s">
        <v>225</v>
      </c>
      <c r="AD109" t="s">
        <v>285</v>
      </c>
      <c r="AE109" t="s">
        <v>193</v>
      </c>
      <c r="AF109" t="s">
        <v>194</v>
      </c>
      <c r="AH109" t="s">
        <v>195</v>
      </c>
      <c r="AI109">
        <v>1</v>
      </c>
      <c r="AJ109" t="s">
        <v>196</v>
      </c>
      <c r="AK109" t="s">
        <v>194</v>
      </c>
      <c r="AL109" t="s">
        <v>197</v>
      </c>
      <c r="AM109" t="s">
        <v>228</v>
      </c>
      <c r="AR109" t="s">
        <v>194</v>
      </c>
      <c r="AS109" t="s">
        <v>199</v>
      </c>
      <c r="AU109" t="s">
        <v>197</v>
      </c>
      <c r="AZ109" t="s">
        <v>194</v>
      </c>
      <c r="BA109" t="s">
        <v>200</v>
      </c>
      <c r="BB109" t="s">
        <v>201</v>
      </c>
      <c r="BD109" t="s">
        <v>200</v>
      </c>
      <c r="BE109" t="s">
        <v>229</v>
      </c>
      <c r="BF109" t="s">
        <v>197</v>
      </c>
      <c r="BG109" t="s">
        <v>230</v>
      </c>
      <c r="BH109" t="s">
        <v>263</v>
      </c>
      <c r="BJ109" t="s">
        <v>205</v>
      </c>
      <c r="BK109" t="s">
        <v>206</v>
      </c>
      <c r="BL109" t="s">
        <v>194</v>
      </c>
      <c r="BO109" t="s">
        <v>216</v>
      </c>
      <c r="BP109" t="s">
        <v>216</v>
      </c>
      <c r="BQ109" t="s">
        <v>286</v>
      </c>
      <c r="BR109" t="s">
        <v>232</v>
      </c>
      <c r="BT109" t="s">
        <v>197</v>
      </c>
      <c r="BV109" t="s">
        <v>233</v>
      </c>
      <c r="CA109" t="s">
        <v>194</v>
      </c>
      <c r="CB109" t="s">
        <v>194</v>
      </c>
      <c r="CC109" t="s">
        <v>264</v>
      </c>
      <c r="CD109" t="s">
        <v>265</v>
      </c>
      <c r="CE109" t="s">
        <v>266</v>
      </c>
      <c r="CF109" t="s">
        <v>215</v>
      </c>
      <c r="CH109" t="s">
        <v>214</v>
      </c>
      <c r="CI109" t="s">
        <v>214</v>
      </c>
      <c r="CJ109" t="s">
        <v>214</v>
      </c>
      <c r="CP109" t="s">
        <v>214</v>
      </c>
      <c r="CS109" t="s">
        <v>216</v>
      </c>
      <c r="CV109" t="s">
        <v>214</v>
      </c>
      <c r="CW109" t="s">
        <v>214</v>
      </c>
      <c r="CX109" t="s">
        <v>217</v>
      </c>
      <c r="CY109" t="s">
        <v>214</v>
      </c>
      <c r="DA109" t="s">
        <v>218</v>
      </c>
    </row>
    <row r="110" spans="1:105" x14ac:dyDescent="0.3">
      <c r="A110">
        <v>1227154</v>
      </c>
      <c r="B110">
        <v>615346</v>
      </c>
      <c r="C110" t="str">
        <f>"110911501928"</f>
        <v>110911501928</v>
      </c>
      <c r="D110" t="s">
        <v>594</v>
      </c>
      <c r="E110" t="s">
        <v>595</v>
      </c>
      <c r="F110" t="s">
        <v>596</v>
      </c>
      <c r="G110" s="1">
        <v>40797</v>
      </c>
      <c r="I110" t="s">
        <v>187</v>
      </c>
      <c r="J110" t="s">
        <v>188</v>
      </c>
      <c r="K110" t="s">
        <v>189</v>
      </c>
      <c r="Y110" t="str">
        <f>"2018-08-06T00:00:00"</f>
        <v>2018-08-06T00:00:00</v>
      </c>
      <c r="Z110" t="str">
        <f>"№19"</f>
        <v>№19</v>
      </c>
      <c r="AA110" t="s">
        <v>224</v>
      </c>
      <c r="AC110" t="s">
        <v>225</v>
      </c>
      <c r="AD110" t="s">
        <v>285</v>
      </c>
      <c r="AE110" t="s">
        <v>227</v>
      </c>
      <c r="AF110" t="s">
        <v>194</v>
      </c>
      <c r="AH110" t="s">
        <v>195</v>
      </c>
      <c r="AI110">
        <v>2</v>
      </c>
      <c r="AJ110" t="s">
        <v>196</v>
      </c>
      <c r="AK110" t="s">
        <v>194</v>
      </c>
      <c r="AL110" t="s">
        <v>197</v>
      </c>
      <c r="AM110" t="s">
        <v>228</v>
      </c>
      <c r="AR110" t="s">
        <v>194</v>
      </c>
      <c r="AS110" t="s">
        <v>199</v>
      </c>
      <c r="AU110" t="s">
        <v>197</v>
      </c>
      <c r="AZ110" t="s">
        <v>194</v>
      </c>
      <c r="BA110" t="s">
        <v>200</v>
      </c>
      <c r="BB110" t="s">
        <v>201</v>
      </c>
      <c r="BD110" t="s">
        <v>200</v>
      </c>
      <c r="BE110" t="s">
        <v>229</v>
      </c>
      <c r="BF110" t="s">
        <v>197</v>
      </c>
      <c r="BG110" t="s">
        <v>238</v>
      </c>
      <c r="BH110">
        <v>4</v>
      </c>
      <c r="BJ110" t="s">
        <v>205</v>
      </c>
      <c r="BK110" t="s">
        <v>206</v>
      </c>
      <c r="BL110" t="s">
        <v>194</v>
      </c>
      <c r="BO110" t="s">
        <v>216</v>
      </c>
      <c r="BP110" t="s">
        <v>216</v>
      </c>
      <c r="BQ110" t="s">
        <v>286</v>
      </c>
      <c r="BR110" t="s">
        <v>232</v>
      </c>
      <c r="BT110" t="s">
        <v>197</v>
      </c>
      <c r="BV110" t="s">
        <v>233</v>
      </c>
      <c r="CA110" t="s">
        <v>194</v>
      </c>
      <c r="CB110" t="s">
        <v>194</v>
      </c>
      <c r="CC110" t="s">
        <v>264</v>
      </c>
      <c r="CD110" t="s">
        <v>265</v>
      </c>
      <c r="CE110" t="s">
        <v>266</v>
      </c>
      <c r="CF110" t="s">
        <v>215</v>
      </c>
      <c r="CH110" t="s">
        <v>214</v>
      </c>
      <c r="CI110" t="s">
        <v>214</v>
      </c>
      <c r="CJ110" t="s">
        <v>214</v>
      </c>
      <c r="CP110" t="s">
        <v>214</v>
      </c>
      <c r="CS110" t="s">
        <v>216</v>
      </c>
      <c r="CV110" t="s">
        <v>214</v>
      </c>
      <c r="CW110" t="s">
        <v>214</v>
      </c>
      <c r="CX110" t="s">
        <v>217</v>
      </c>
      <c r="CY110" t="s">
        <v>214</v>
      </c>
      <c r="DA110" t="s">
        <v>218</v>
      </c>
    </row>
    <row r="111" spans="1:105" x14ac:dyDescent="0.3">
      <c r="A111">
        <v>1227171</v>
      </c>
      <c r="B111">
        <v>615452</v>
      </c>
      <c r="C111" t="str">
        <f>"120502503546"</f>
        <v>120502503546</v>
      </c>
      <c r="D111" t="s">
        <v>597</v>
      </c>
      <c r="E111" t="s">
        <v>598</v>
      </c>
      <c r="F111" t="s">
        <v>599</v>
      </c>
      <c r="G111" s="1">
        <v>41031</v>
      </c>
      <c r="I111" t="s">
        <v>187</v>
      </c>
      <c r="J111" t="s">
        <v>188</v>
      </c>
      <c r="K111" t="s">
        <v>223</v>
      </c>
      <c r="Y111" t="str">
        <f>"2018-08-15T00:00:00"</f>
        <v>2018-08-15T00:00:00</v>
      </c>
      <c r="Z111" t="str">
        <f>"№20"</f>
        <v>№20</v>
      </c>
      <c r="AA111" t="s">
        <v>224</v>
      </c>
      <c r="AC111" t="s">
        <v>225</v>
      </c>
      <c r="AD111" t="s">
        <v>285</v>
      </c>
      <c r="AE111" t="s">
        <v>193</v>
      </c>
      <c r="AF111" t="s">
        <v>194</v>
      </c>
      <c r="AH111" t="s">
        <v>195</v>
      </c>
      <c r="AI111">
        <v>1</v>
      </c>
      <c r="AJ111" t="s">
        <v>196</v>
      </c>
      <c r="AK111" t="s">
        <v>194</v>
      </c>
      <c r="AL111" t="s">
        <v>197</v>
      </c>
      <c r="AM111" t="s">
        <v>228</v>
      </c>
      <c r="AR111" t="s">
        <v>194</v>
      </c>
      <c r="AS111" t="s">
        <v>199</v>
      </c>
      <c r="AU111" t="s">
        <v>197</v>
      </c>
      <c r="AZ111" t="s">
        <v>194</v>
      </c>
      <c r="BA111" t="s">
        <v>200</v>
      </c>
      <c r="BB111" t="s">
        <v>201</v>
      </c>
      <c r="BD111" t="s">
        <v>200</v>
      </c>
      <c r="BE111" t="s">
        <v>229</v>
      </c>
      <c r="BF111" t="s">
        <v>197</v>
      </c>
      <c r="BG111" t="s">
        <v>269</v>
      </c>
      <c r="BH111" t="s">
        <v>270</v>
      </c>
      <c r="BJ111" t="s">
        <v>205</v>
      </c>
      <c r="BK111" t="s">
        <v>206</v>
      </c>
      <c r="BL111" t="s">
        <v>194</v>
      </c>
      <c r="BO111" t="s">
        <v>216</v>
      </c>
      <c r="BP111" t="s">
        <v>216</v>
      </c>
      <c r="BQ111" t="s">
        <v>286</v>
      </c>
      <c r="BR111" t="s">
        <v>232</v>
      </c>
      <c r="BT111" t="s">
        <v>197</v>
      </c>
      <c r="BV111" t="s">
        <v>233</v>
      </c>
      <c r="CA111" t="s">
        <v>194</v>
      </c>
      <c r="CB111" t="s">
        <v>194</v>
      </c>
      <c r="CC111" t="s">
        <v>264</v>
      </c>
      <c r="CD111" t="s">
        <v>265</v>
      </c>
      <c r="CE111" t="s">
        <v>266</v>
      </c>
      <c r="CF111" t="s">
        <v>215</v>
      </c>
      <c r="CH111" t="s">
        <v>214</v>
      </c>
      <c r="CI111" t="s">
        <v>214</v>
      </c>
      <c r="CJ111" t="s">
        <v>214</v>
      </c>
      <c r="CP111" t="s">
        <v>214</v>
      </c>
      <c r="CS111" t="s">
        <v>216</v>
      </c>
      <c r="CV111" t="s">
        <v>214</v>
      </c>
      <c r="CW111" t="s">
        <v>214</v>
      </c>
      <c r="CX111" t="s">
        <v>217</v>
      </c>
      <c r="CY111" t="s">
        <v>214</v>
      </c>
      <c r="DA111" t="s">
        <v>218</v>
      </c>
    </row>
    <row r="112" spans="1:105" x14ac:dyDescent="0.3">
      <c r="A112">
        <v>1227182</v>
      </c>
      <c r="B112">
        <v>615582</v>
      </c>
      <c r="C112" t="str">
        <f>"111120600235"</f>
        <v>111120600235</v>
      </c>
      <c r="D112" t="s">
        <v>513</v>
      </c>
      <c r="E112" t="s">
        <v>600</v>
      </c>
      <c r="F112" t="s">
        <v>601</v>
      </c>
      <c r="G112" s="1">
        <v>40867</v>
      </c>
      <c r="I112" t="s">
        <v>222</v>
      </c>
      <c r="J112" t="s">
        <v>188</v>
      </c>
      <c r="K112" t="s">
        <v>338</v>
      </c>
      <c r="Y112" t="str">
        <f>"2018-08-15T00:00:00"</f>
        <v>2018-08-15T00:00:00</v>
      </c>
      <c r="Z112" t="str">
        <f>"№20"</f>
        <v>№20</v>
      </c>
      <c r="AA112" t="s">
        <v>224</v>
      </c>
      <c r="AC112" t="s">
        <v>225</v>
      </c>
      <c r="AD112" t="s">
        <v>285</v>
      </c>
      <c r="AE112" t="s">
        <v>193</v>
      </c>
      <c r="AF112" t="s">
        <v>194</v>
      </c>
      <c r="AH112" t="s">
        <v>195</v>
      </c>
      <c r="AI112">
        <v>1</v>
      </c>
      <c r="AJ112" t="s">
        <v>196</v>
      </c>
      <c r="AK112" t="s">
        <v>194</v>
      </c>
      <c r="AL112" t="s">
        <v>197</v>
      </c>
      <c r="AM112" t="s">
        <v>228</v>
      </c>
      <c r="AR112" t="s">
        <v>194</v>
      </c>
      <c r="AS112" t="s">
        <v>199</v>
      </c>
      <c r="AU112" t="s">
        <v>197</v>
      </c>
      <c r="AZ112" t="s">
        <v>194</v>
      </c>
      <c r="BA112" t="s">
        <v>200</v>
      </c>
      <c r="BB112" t="s">
        <v>201</v>
      </c>
      <c r="BC112" t="s">
        <v>200</v>
      </c>
      <c r="BE112" t="s">
        <v>229</v>
      </c>
      <c r="BF112" t="s">
        <v>197</v>
      </c>
      <c r="BG112" t="s">
        <v>230</v>
      </c>
      <c r="BH112" t="s">
        <v>263</v>
      </c>
      <c r="BJ112" t="s">
        <v>205</v>
      </c>
      <c r="BK112" t="s">
        <v>206</v>
      </c>
      <c r="BL112" t="s">
        <v>194</v>
      </c>
      <c r="BO112" t="s">
        <v>216</v>
      </c>
      <c r="BP112" t="s">
        <v>216</v>
      </c>
      <c r="BQ112" t="s">
        <v>286</v>
      </c>
      <c r="BR112" t="s">
        <v>232</v>
      </c>
      <c r="BT112" t="s">
        <v>197</v>
      </c>
      <c r="BV112" t="s">
        <v>233</v>
      </c>
      <c r="CA112" t="s">
        <v>194</v>
      </c>
      <c r="CB112" t="s">
        <v>194</v>
      </c>
      <c r="CC112" t="s">
        <v>264</v>
      </c>
      <c r="CD112" t="s">
        <v>265</v>
      </c>
      <c r="CE112" t="s">
        <v>266</v>
      </c>
      <c r="CF112" t="s">
        <v>215</v>
      </c>
      <c r="CH112" t="s">
        <v>214</v>
      </c>
      <c r="CI112" t="s">
        <v>214</v>
      </c>
      <c r="CJ112" t="s">
        <v>214</v>
      </c>
      <c r="CP112" t="s">
        <v>214</v>
      </c>
      <c r="CS112" t="s">
        <v>216</v>
      </c>
      <c r="CV112" t="s">
        <v>214</v>
      </c>
      <c r="CW112" t="s">
        <v>214</v>
      </c>
      <c r="CX112" t="s">
        <v>217</v>
      </c>
      <c r="CY112" t="s">
        <v>214</v>
      </c>
      <c r="DA112" t="s">
        <v>218</v>
      </c>
    </row>
    <row r="113" spans="1:105" x14ac:dyDescent="0.3">
      <c r="A113">
        <v>1227229</v>
      </c>
      <c r="B113">
        <v>615817</v>
      </c>
      <c r="C113" t="str">
        <f>"120124501674"</f>
        <v>120124501674</v>
      </c>
      <c r="D113" t="s">
        <v>602</v>
      </c>
      <c r="E113" t="s">
        <v>603</v>
      </c>
      <c r="F113" t="s">
        <v>344</v>
      </c>
      <c r="G113" s="1">
        <v>40932</v>
      </c>
      <c r="I113" t="s">
        <v>187</v>
      </c>
      <c r="J113" t="s">
        <v>188</v>
      </c>
      <c r="K113" t="s">
        <v>223</v>
      </c>
      <c r="Y113" t="str">
        <f>"2018-08-27T00:00:00"</f>
        <v>2018-08-27T00:00:00</v>
      </c>
      <c r="Z113" t="str">
        <f>"№21"</f>
        <v>№21</v>
      </c>
      <c r="AA113" t="s">
        <v>224</v>
      </c>
      <c r="AC113" t="s">
        <v>225</v>
      </c>
      <c r="AD113" t="s">
        <v>285</v>
      </c>
      <c r="AE113" t="s">
        <v>243</v>
      </c>
      <c r="AF113" t="s">
        <v>194</v>
      </c>
      <c r="AH113" t="s">
        <v>195</v>
      </c>
      <c r="AI113">
        <v>2</v>
      </c>
      <c r="AJ113" t="s">
        <v>196</v>
      </c>
      <c r="AK113" t="s">
        <v>194</v>
      </c>
      <c r="AL113" t="s">
        <v>197</v>
      </c>
      <c r="AM113" t="s">
        <v>228</v>
      </c>
      <c r="AR113" t="s">
        <v>194</v>
      </c>
      <c r="AS113" t="s">
        <v>199</v>
      </c>
      <c r="AU113" t="s">
        <v>197</v>
      </c>
      <c r="AZ113" t="s">
        <v>194</v>
      </c>
      <c r="BA113" t="s">
        <v>200</v>
      </c>
      <c r="BB113" t="s">
        <v>201</v>
      </c>
      <c r="BD113" t="s">
        <v>200</v>
      </c>
      <c r="BE113" t="s">
        <v>229</v>
      </c>
      <c r="BF113" t="s">
        <v>197</v>
      </c>
      <c r="BG113" t="s">
        <v>230</v>
      </c>
      <c r="BH113" t="s">
        <v>231</v>
      </c>
      <c r="BJ113" t="s">
        <v>205</v>
      </c>
      <c r="BK113" t="s">
        <v>206</v>
      </c>
      <c r="BL113" t="s">
        <v>194</v>
      </c>
      <c r="BO113" t="s">
        <v>200</v>
      </c>
      <c r="BP113" t="s">
        <v>200</v>
      </c>
      <c r="BQ113" t="s">
        <v>271</v>
      </c>
      <c r="BR113" t="s">
        <v>232</v>
      </c>
      <c r="BT113" t="s">
        <v>197</v>
      </c>
      <c r="BV113" t="s">
        <v>233</v>
      </c>
      <c r="CA113" t="s">
        <v>194</v>
      </c>
      <c r="CB113" t="s">
        <v>194</v>
      </c>
      <c r="CC113" t="s">
        <v>264</v>
      </c>
      <c r="CD113" t="s">
        <v>265</v>
      </c>
      <c r="CE113" t="s">
        <v>266</v>
      </c>
      <c r="CF113" t="s">
        <v>215</v>
      </c>
      <c r="CH113" t="s">
        <v>214</v>
      </c>
      <c r="CI113" t="s">
        <v>214</v>
      </c>
      <c r="CJ113" t="s">
        <v>214</v>
      </c>
      <c r="CP113" t="s">
        <v>214</v>
      </c>
      <c r="CS113" t="s">
        <v>216</v>
      </c>
      <c r="CV113" t="s">
        <v>214</v>
      </c>
      <c r="CW113" t="s">
        <v>214</v>
      </c>
      <c r="CX113" t="s">
        <v>217</v>
      </c>
      <c r="CY113" t="s">
        <v>214</v>
      </c>
      <c r="DA113" t="s">
        <v>218</v>
      </c>
    </row>
    <row r="114" spans="1:105" x14ac:dyDescent="0.3">
      <c r="A114">
        <v>1227285</v>
      </c>
      <c r="B114">
        <v>615993</v>
      </c>
      <c r="C114" t="str">
        <f>"101204502715"</f>
        <v>101204502715</v>
      </c>
      <c r="D114" t="s">
        <v>604</v>
      </c>
      <c r="E114" t="s">
        <v>322</v>
      </c>
      <c r="F114" t="s">
        <v>605</v>
      </c>
      <c r="G114" s="1">
        <v>40516</v>
      </c>
      <c r="I114" t="s">
        <v>187</v>
      </c>
      <c r="J114" t="s">
        <v>188</v>
      </c>
      <c r="K114" t="s">
        <v>223</v>
      </c>
      <c r="Y114" t="str">
        <f>"2016-09-01T00:00:00"</f>
        <v>2016-09-01T00:00:00</v>
      </c>
      <c r="Z114" t="str">
        <f>"№45"</f>
        <v>№45</v>
      </c>
      <c r="AA114" t="s">
        <v>314</v>
      </c>
      <c r="AC114" t="s">
        <v>225</v>
      </c>
      <c r="AD114" t="s">
        <v>261</v>
      </c>
      <c r="AE114" t="s">
        <v>227</v>
      </c>
      <c r="AF114" t="s">
        <v>194</v>
      </c>
      <c r="AH114" t="s">
        <v>195</v>
      </c>
      <c r="AI114">
        <v>2</v>
      </c>
      <c r="AJ114" t="s">
        <v>196</v>
      </c>
      <c r="AK114" t="s">
        <v>194</v>
      </c>
      <c r="AL114" t="s">
        <v>197</v>
      </c>
      <c r="AM114" t="s">
        <v>228</v>
      </c>
      <c r="AR114" t="s">
        <v>194</v>
      </c>
      <c r="AS114" t="s">
        <v>199</v>
      </c>
      <c r="AU114" t="s">
        <v>197</v>
      </c>
      <c r="AZ114" t="s">
        <v>194</v>
      </c>
      <c r="BA114" t="s">
        <v>200</v>
      </c>
      <c r="BB114" t="s">
        <v>201</v>
      </c>
      <c r="BD114" t="s">
        <v>200</v>
      </c>
      <c r="BE114" t="s">
        <v>202</v>
      </c>
      <c r="BF114" t="s">
        <v>197</v>
      </c>
      <c r="BG114" t="s">
        <v>238</v>
      </c>
      <c r="BH114">
        <v>3</v>
      </c>
      <c r="BJ114" t="s">
        <v>205</v>
      </c>
      <c r="BK114" t="s">
        <v>206</v>
      </c>
      <c r="BL114" t="s">
        <v>214</v>
      </c>
      <c r="BO114" t="s">
        <v>216</v>
      </c>
      <c r="BP114" t="s">
        <v>216</v>
      </c>
      <c r="BQ114" t="s">
        <v>280</v>
      </c>
      <c r="BR114" t="s">
        <v>232</v>
      </c>
      <c r="BT114" t="s">
        <v>197</v>
      </c>
      <c r="BV114" t="s">
        <v>233</v>
      </c>
      <c r="CA114" t="s">
        <v>194</v>
      </c>
      <c r="CB114" t="s">
        <v>194</v>
      </c>
      <c r="CC114" t="s">
        <v>264</v>
      </c>
      <c r="CD114" t="s">
        <v>265</v>
      </c>
      <c r="CE114" t="s">
        <v>266</v>
      </c>
      <c r="CF114" t="s">
        <v>215</v>
      </c>
      <c r="CH114" t="s">
        <v>214</v>
      </c>
      <c r="CI114" t="s">
        <v>214</v>
      </c>
      <c r="CJ114" t="s">
        <v>214</v>
      </c>
      <c r="CP114" t="s">
        <v>214</v>
      </c>
      <c r="CS114" t="s">
        <v>216</v>
      </c>
      <c r="CV114" t="s">
        <v>214</v>
      </c>
      <c r="CW114" t="s">
        <v>214</v>
      </c>
      <c r="CX114" t="s">
        <v>217</v>
      </c>
      <c r="CY114" t="s">
        <v>214</v>
      </c>
      <c r="DA114" t="s">
        <v>218</v>
      </c>
    </row>
    <row r="115" spans="1:105" x14ac:dyDescent="0.3">
      <c r="A115">
        <v>1227345</v>
      </c>
      <c r="B115">
        <v>932614</v>
      </c>
      <c r="C115" t="str">
        <f>"100305651964"</f>
        <v>100305651964</v>
      </c>
      <c r="D115" t="s">
        <v>606</v>
      </c>
      <c r="E115" t="s">
        <v>607</v>
      </c>
      <c r="F115" t="s">
        <v>365</v>
      </c>
      <c r="G115" s="1">
        <v>40242</v>
      </c>
      <c r="I115" t="s">
        <v>222</v>
      </c>
      <c r="J115" t="s">
        <v>188</v>
      </c>
      <c r="K115" t="s">
        <v>223</v>
      </c>
      <c r="Y115" t="str">
        <f t="shared" ref="Y115:Y120" si="6">"2014-09-01T00:00:00"</f>
        <v>2014-09-01T00:00:00</v>
      </c>
      <c r="Z115" t="str">
        <f t="shared" ref="Z115:Z120" si="7">"№76"</f>
        <v>№76</v>
      </c>
      <c r="AA115" t="s">
        <v>224</v>
      </c>
      <c r="AC115" t="s">
        <v>255</v>
      </c>
      <c r="AD115" t="s">
        <v>242</v>
      </c>
      <c r="AE115" t="s">
        <v>227</v>
      </c>
      <c r="AF115" t="s">
        <v>194</v>
      </c>
      <c r="AH115" t="s">
        <v>195</v>
      </c>
      <c r="AI115">
        <v>1</v>
      </c>
      <c r="AJ115" t="s">
        <v>196</v>
      </c>
      <c r="AK115" t="s">
        <v>194</v>
      </c>
      <c r="AL115" t="s">
        <v>197</v>
      </c>
      <c r="AM115" t="s">
        <v>228</v>
      </c>
      <c r="AR115" t="s">
        <v>194</v>
      </c>
      <c r="AS115" t="s">
        <v>199</v>
      </c>
      <c r="AU115" t="s">
        <v>197</v>
      </c>
      <c r="AZ115" t="s">
        <v>194</v>
      </c>
      <c r="BA115" t="s">
        <v>200</v>
      </c>
      <c r="BB115" t="s">
        <v>201</v>
      </c>
      <c r="BD115" t="s">
        <v>200</v>
      </c>
      <c r="BE115" t="s">
        <v>229</v>
      </c>
      <c r="BF115" t="s">
        <v>197</v>
      </c>
      <c r="BG115" t="s">
        <v>230</v>
      </c>
      <c r="BH115" t="s">
        <v>608</v>
      </c>
      <c r="BJ115" t="s">
        <v>205</v>
      </c>
      <c r="BK115" t="s">
        <v>206</v>
      </c>
      <c r="BL115" t="s">
        <v>194</v>
      </c>
      <c r="BO115" t="s">
        <v>216</v>
      </c>
      <c r="BP115" t="s">
        <v>216</v>
      </c>
      <c r="BR115" t="s">
        <v>232</v>
      </c>
      <c r="BT115" t="s">
        <v>197</v>
      </c>
      <c r="BV115" t="s">
        <v>233</v>
      </c>
      <c r="CA115" t="s">
        <v>194</v>
      </c>
      <c r="CB115" t="s">
        <v>214</v>
      </c>
      <c r="CF115" t="s">
        <v>215</v>
      </c>
      <c r="CH115" t="s">
        <v>214</v>
      </c>
      <c r="CI115" t="s">
        <v>214</v>
      </c>
      <c r="CJ115" t="s">
        <v>214</v>
      </c>
      <c r="CP115" t="s">
        <v>214</v>
      </c>
      <c r="CS115" t="s">
        <v>216</v>
      </c>
      <c r="CV115" t="s">
        <v>214</v>
      </c>
      <c r="CW115" t="s">
        <v>214</v>
      </c>
      <c r="CX115" t="s">
        <v>217</v>
      </c>
      <c r="CY115" t="s">
        <v>214</v>
      </c>
      <c r="DA115" t="s">
        <v>218</v>
      </c>
    </row>
    <row r="116" spans="1:105" x14ac:dyDescent="0.3">
      <c r="A116">
        <v>1227377</v>
      </c>
      <c r="B116">
        <v>932632</v>
      </c>
      <c r="C116" t="str">
        <f>"080604555177"</f>
        <v>080604555177</v>
      </c>
      <c r="D116" t="s">
        <v>257</v>
      </c>
      <c r="E116" t="s">
        <v>609</v>
      </c>
      <c r="F116" t="s">
        <v>316</v>
      </c>
      <c r="G116" s="1">
        <v>39603</v>
      </c>
      <c r="I116" t="s">
        <v>187</v>
      </c>
      <c r="J116" t="s">
        <v>188</v>
      </c>
      <c r="K116" t="s">
        <v>260</v>
      </c>
      <c r="Y116" t="str">
        <f t="shared" si="6"/>
        <v>2014-09-01T00:00:00</v>
      </c>
      <c r="Z116" t="str">
        <f t="shared" si="7"/>
        <v>№76</v>
      </c>
      <c r="AA116" t="s">
        <v>224</v>
      </c>
      <c r="AC116" t="s">
        <v>237</v>
      </c>
      <c r="AD116" t="s">
        <v>226</v>
      </c>
      <c r="AE116" t="s">
        <v>227</v>
      </c>
      <c r="AF116" t="s">
        <v>194</v>
      </c>
      <c r="AH116" t="s">
        <v>195</v>
      </c>
      <c r="AI116">
        <v>2</v>
      </c>
      <c r="AJ116" t="s">
        <v>196</v>
      </c>
      <c r="AK116" t="s">
        <v>194</v>
      </c>
      <c r="AL116" t="s">
        <v>197</v>
      </c>
      <c r="AM116" t="s">
        <v>228</v>
      </c>
      <c r="AR116" t="s">
        <v>194</v>
      </c>
      <c r="AS116" t="s">
        <v>199</v>
      </c>
      <c r="AU116" t="s">
        <v>197</v>
      </c>
      <c r="AZ116" t="s">
        <v>194</v>
      </c>
      <c r="BA116" t="s">
        <v>200</v>
      </c>
      <c r="BB116" t="s">
        <v>201</v>
      </c>
      <c r="BD116" t="s">
        <v>200</v>
      </c>
      <c r="BE116" t="s">
        <v>202</v>
      </c>
      <c r="BF116" t="s">
        <v>197</v>
      </c>
      <c r="BG116" t="s">
        <v>238</v>
      </c>
      <c r="BH116">
        <v>3</v>
      </c>
      <c r="BJ116" t="s">
        <v>205</v>
      </c>
      <c r="BK116" t="s">
        <v>206</v>
      </c>
      <c r="BL116" t="s">
        <v>194</v>
      </c>
      <c r="BO116" t="s">
        <v>216</v>
      </c>
      <c r="BP116" t="s">
        <v>216</v>
      </c>
      <c r="BR116" t="s">
        <v>246</v>
      </c>
      <c r="BS116" t="s">
        <v>208</v>
      </c>
      <c r="BT116" t="s">
        <v>197</v>
      </c>
      <c r="BV116" t="s">
        <v>233</v>
      </c>
      <c r="CA116" t="s">
        <v>194</v>
      </c>
      <c r="CB116" t="s">
        <v>214</v>
      </c>
      <c r="CF116" t="s">
        <v>215</v>
      </c>
      <c r="CH116" t="s">
        <v>214</v>
      </c>
      <c r="CI116" t="s">
        <v>214</v>
      </c>
      <c r="CJ116" t="s">
        <v>214</v>
      </c>
      <c r="CP116" t="s">
        <v>214</v>
      </c>
      <c r="CS116" t="s">
        <v>216</v>
      </c>
      <c r="CV116" t="s">
        <v>214</v>
      </c>
      <c r="CW116" t="s">
        <v>214</v>
      </c>
      <c r="CX116" t="s">
        <v>217</v>
      </c>
      <c r="CY116" t="s">
        <v>214</v>
      </c>
      <c r="DA116" t="s">
        <v>218</v>
      </c>
    </row>
    <row r="117" spans="1:105" x14ac:dyDescent="0.3">
      <c r="A117">
        <v>1227397</v>
      </c>
      <c r="B117">
        <v>932643</v>
      </c>
      <c r="C117" t="str">
        <f>"071220652231"</f>
        <v>071220652231</v>
      </c>
      <c r="D117" t="s">
        <v>610</v>
      </c>
      <c r="E117" t="s">
        <v>258</v>
      </c>
      <c r="F117" t="s">
        <v>221</v>
      </c>
      <c r="G117" s="1">
        <v>39436</v>
      </c>
      <c r="I117" t="s">
        <v>222</v>
      </c>
      <c r="J117" t="s">
        <v>188</v>
      </c>
      <c r="K117" t="s">
        <v>530</v>
      </c>
      <c r="Y117" t="str">
        <f t="shared" si="6"/>
        <v>2014-09-01T00:00:00</v>
      </c>
      <c r="Z117" t="str">
        <f t="shared" si="7"/>
        <v>№76</v>
      </c>
      <c r="AA117" t="s">
        <v>224</v>
      </c>
      <c r="AC117" t="s">
        <v>225</v>
      </c>
      <c r="AD117" t="s">
        <v>226</v>
      </c>
      <c r="AE117" t="s">
        <v>227</v>
      </c>
      <c r="AF117" t="s">
        <v>194</v>
      </c>
      <c r="AH117" t="s">
        <v>195</v>
      </c>
      <c r="AI117">
        <v>2</v>
      </c>
      <c r="AJ117" t="s">
        <v>196</v>
      </c>
      <c r="AK117" t="s">
        <v>194</v>
      </c>
      <c r="AL117" t="s">
        <v>197</v>
      </c>
      <c r="AM117" t="s">
        <v>228</v>
      </c>
      <c r="AR117" t="s">
        <v>194</v>
      </c>
      <c r="AS117" t="s">
        <v>199</v>
      </c>
      <c r="AU117" t="s">
        <v>197</v>
      </c>
      <c r="AZ117" t="s">
        <v>194</v>
      </c>
      <c r="BA117" t="s">
        <v>200</v>
      </c>
      <c r="BB117" t="s">
        <v>201</v>
      </c>
      <c r="BD117" t="s">
        <v>200</v>
      </c>
      <c r="BE117" t="s">
        <v>202</v>
      </c>
      <c r="BF117" t="s">
        <v>197</v>
      </c>
      <c r="BG117" t="s">
        <v>238</v>
      </c>
      <c r="BH117">
        <v>3</v>
      </c>
      <c r="BJ117" t="s">
        <v>205</v>
      </c>
      <c r="BK117" t="s">
        <v>206</v>
      </c>
      <c r="BL117" t="s">
        <v>194</v>
      </c>
      <c r="BO117" t="s">
        <v>216</v>
      </c>
      <c r="BP117" t="s">
        <v>216</v>
      </c>
      <c r="BR117" t="s">
        <v>232</v>
      </c>
      <c r="BT117" t="s">
        <v>197</v>
      </c>
      <c r="BV117" t="s">
        <v>233</v>
      </c>
      <c r="CA117" t="s">
        <v>194</v>
      </c>
      <c r="CB117" t="s">
        <v>214</v>
      </c>
      <c r="CF117" t="s">
        <v>215</v>
      </c>
      <c r="CH117" t="s">
        <v>214</v>
      </c>
      <c r="CI117" t="s">
        <v>214</v>
      </c>
      <c r="CJ117" t="s">
        <v>214</v>
      </c>
      <c r="CP117" t="s">
        <v>214</v>
      </c>
      <c r="CS117" t="s">
        <v>216</v>
      </c>
      <c r="CV117" t="s">
        <v>214</v>
      </c>
      <c r="CW117" t="s">
        <v>214</v>
      </c>
      <c r="CX117" t="s">
        <v>217</v>
      </c>
      <c r="CY117" t="s">
        <v>214</v>
      </c>
      <c r="DA117" t="s">
        <v>218</v>
      </c>
    </row>
    <row r="118" spans="1:105" x14ac:dyDescent="0.3">
      <c r="A118">
        <v>1227411</v>
      </c>
      <c r="B118">
        <v>932649</v>
      </c>
      <c r="C118" t="str">
        <f>"071220552186"</f>
        <v>071220552186</v>
      </c>
      <c r="D118" t="s">
        <v>611</v>
      </c>
      <c r="E118" t="s">
        <v>419</v>
      </c>
      <c r="F118" t="s">
        <v>323</v>
      </c>
      <c r="G118" s="1">
        <v>39436</v>
      </c>
      <c r="I118" t="s">
        <v>187</v>
      </c>
      <c r="J118" t="s">
        <v>188</v>
      </c>
      <c r="K118" t="s">
        <v>530</v>
      </c>
      <c r="Y118" t="str">
        <f t="shared" si="6"/>
        <v>2014-09-01T00:00:00</v>
      </c>
      <c r="Z118" t="str">
        <f t="shared" si="7"/>
        <v>№76</v>
      </c>
      <c r="AA118" t="s">
        <v>224</v>
      </c>
      <c r="AC118" t="s">
        <v>237</v>
      </c>
      <c r="AD118" t="s">
        <v>226</v>
      </c>
      <c r="AE118" t="s">
        <v>227</v>
      </c>
      <c r="AF118" t="s">
        <v>194</v>
      </c>
      <c r="AH118" t="s">
        <v>195</v>
      </c>
      <c r="AI118">
        <v>2</v>
      </c>
      <c r="AJ118" t="s">
        <v>196</v>
      </c>
      <c r="AK118" t="s">
        <v>194</v>
      </c>
      <c r="AL118" t="s">
        <v>197</v>
      </c>
      <c r="AM118" t="s">
        <v>228</v>
      </c>
      <c r="AR118" t="s">
        <v>194</v>
      </c>
      <c r="AS118" t="s">
        <v>199</v>
      </c>
      <c r="AU118" t="s">
        <v>197</v>
      </c>
      <c r="AZ118" t="s">
        <v>194</v>
      </c>
      <c r="BA118" t="s">
        <v>200</v>
      </c>
      <c r="BB118" t="s">
        <v>201</v>
      </c>
      <c r="BD118" t="s">
        <v>200</v>
      </c>
      <c r="BE118" t="s">
        <v>202</v>
      </c>
      <c r="BF118" t="s">
        <v>197</v>
      </c>
      <c r="BG118" t="s">
        <v>238</v>
      </c>
      <c r="BH118">
        <v>3</v>
      </c>
      <c r="BJ118" t="s">
        <v>205</v>
      </c>
      <c r="BK118" t="s">
        <v>206</v>
      </c>
      <c r="BL118" t="s">
        <v>194</v>
      </c>
      <c r="BO118" t="s">
        <v>216</v>
      </c>
      <c r="BP118" t="s">
        <v>216</v>
      </c>
      <c r="BR118" t="s">
        <v>232</v>
      </c>
      <c r="BT118" t="s">
        <v>197</v>
      </c>
      <c r="BV118" t="s">
        <v>233</v>
      </c>
      <c r="CA118" t="s">
        <v>194</v>
      </c>
      <c r="CB118" t="s">
        <v>214</v>
      </c>
      <c r="CF118" t="s">
        <v>215</v>
      </c>
      <c r="CH118" t="s">
        <v>214</v>
      </c>
      <c r="CI118" t="s">
        <v>214</v>
      </c>
      <c r="CJ118" t="s">
        <v>214</v>
      </c>
      <c r="CP118" t="s">
        <v>214</v>
      </c>
      <c r="CS118" t="s">
        <v>216</v>
      </c>
      <c r="CV118" t="s">
        <v>214</v>
      </c>
      <c r="CW118" t="s">
        <v>214</v>
      </c>
      <c r="CX118" t="s">
        <v>217</v>
      </c>
      <c r="CY118" t="s">
        <v>214</v>
      </c>
      <c r="DA118" t="s">
        <v>218</v>
      </c>
    </row>
    <row r="119" spans="1:105" x14ac:dyDescent="0.3">
      <c r="A119">
        <v>1227464</v>
      </c>
      <c r="B119">
        <v>932684</v>
      </c>
      <c r="C119" t="str">
        <f>"081118553796"</f>
        <v>081118553796</v>
      </c>
      <c r="D119" t="s">
        <v>612</v>
      </c>
      <c r="E119" t="s">
        <v>603</v>
      </c>
      <c r="F119" t="s">
        <v>289</v>
      </c>
      <c r="G119" s="1">
        <v>39770</v>
      </c>
      <c r="I119" t="s">
        <v>187</v>
      </c>
      <c r="J119" t="s">
        <v>188</v>
      </c>
      <c r="K119" t="s">
        <v>260</v>
      </c>
      <c r="Y119" t="str">
        <f t="shared" si="6"/>
        <v>2014-09-01T00:00:00</v>
      </c>
      <c r="Z119" t="str">
        <f t="shared" si="7"/>
        <v>№76</v>
      </c>
      <c r="AA119" t="s">
        <v>224</v>
      </c>
      <c r="AC119" t="s">
        <v>191</v>
      </c>
      <c r="AD119" t="s">
        <v>226</v>
      </c>
      <c r="AE119" t="s">
        <v>193</v>
      </c>
      <c r="AF119" t="s">
        <v>194</v>
      </c>
      <c r="AH119" t="s">
        <v>195</v>
      </c>
      <c r="AI119">
        <v>2</v>
      </c>
      <c r="AJ119" t="s">
        <v>196</v>
      </c>
      <c r="AK119" t="s">
        <v>194</v>
      </c>
      <c r="AL119" t="s">
        <v>197</v>
      </c>
      <c r="AM119" t="s">
        <v>198</v>
      </c>
      <c r="AR119" t="s">
        <v>194</v>
      </c>
      <c r="AS119" t="s">
        <v>199</v>
      </c>
      <c r="AU119" t="s">
        <v>197</v>
      </c>
      <c r="AZ119" t="s">
        <v>194</v>
      </c>
      <c r="BA119" t="s">
        <v>200</v>
      </c>
      <c r="BB119" t="s">
        <v>201</v>
      </c>
      <c r="BD119" t="s">
        <v>200</v>
      </c>
      <c r="BE119" t="s">
        <v>229</v>
      </c>
      <c r="BF119" t="s">
        <v>197</v>
      </c>
      <c r="BG119" t="s">
        <v>238</v>
      </c>
      <c r="BH119">
        <v>4</v>
      </c>
      <c r="BJ119" t="s">
        <v>205</v>
      </c>
      <c r="BK119" t="s">
        <v>206</v>
      </c>
      <c r="BL119" t="s">
        <v>194</v>
      </c>
      <c r="BO119" t="s">
        <v>216</v>
      </c>
      <c r="BP119" t="s">
        <v>216</v>
      </c>
      <c r="BR119" t="s">
        <v>246</v>
      </c>
      <c r="BS119" t="s">
        <v>208</v>
      </c>
      <c r="BT119" t="s">
        <v>197</v>
      </c>
      <c r="BV119" t="s">
        <v>233</v>
      </c>
      <c r="CA119" t="s">
        <v>194</v>
      </c>
      <c r="CB119" t="s">
        <v>214</v>
      </c>
      <c r="CF119" t="s">
        <v>215</v>
      </c>
      <c r="CH119" t="s">
        <v>214</v>
      </c>
      <c r="CI119" t="s">
        <v>214</v>
      </c>
      <c r="CJ119" t="s">
        <v>214</v>
      </c>
      <c r="CP119" t="s">
        <v>214</v>
      </c>
      <c r="CS119" t="s">
        <v>216</v>
      </c>
      <c r="CV119" t="s">
        <v>214</v>
      </c>
      <c r="CW119" t="s">
        <v>214</v>
      </c>
      <c r="CX119" t="s">
        <v>217</v>
      </c>
      <c r="CY119" t="s">
        <v>214</v>
      </c>
      <c r="DA119" t="s">
        <v>218</v>
      </c>
    </row>
    <row r="120" spans="1:105" x14ac:dyDescent="0.3">
      <c r="A120">
        <v>1227491</v>
      </c>
      <c r="B120">
        <v>932703</v>
      </c>
      <c r="C120" t="str">
        <f>"090409552907"</f>
        <v>090409552907</v>
      </c>
      <c r="D120" t="s">
        <v>613</v>
      </c>
      <c r="E120" t="s">
        <v>603</v>
      </c>
      <c r="F120" t="s">
        <v>435</v>
      </c>
      <c r="G120" s="1">
        <v>39912</v>
      </c>
      <c r="I120" t="s">
        <v>187</v>
      </c>
      <c r="J120" t="s">
        <v>188</v>
      </c>
      <c r="K120" t="s">
        <v>223</v>
      </c>
      <c r="Y120" t="str">
        <f t="shared" si="6"/>
        <v>2014-09-01T00:00:00</v>
      </c>
      <c r="Z120" t="str">
        <f t="shared" si="7"/>
        <v>№76</v>
      </c>
      <c r="AA120" t="s">
        <v>224</v>
      </c>
      <c r="AC120" t="s">
        <v>237</v>
      </c>
      <c r="AD120" t="s">
        <v>226</v>
      </c>
      <c r="AE120" t="s">
        <v>193</v>
      </c>
      <c r="AF120" t="s">
        <v>194</v>
      </c>
      <c r="AH120" t="s">
        <v>195</v>
      </c>
      <c r="AI120">
        <v>2</v>
      </c>
      <c r="AJ120" t="s">
        <v>196</v>
      </c>
      <c r="AK120" t="s">
        <v>194</v>
      </c>
      <c r="AL120" t="s">
        <v>197</v>
      </c>
      <c r="AM120" t="s">
        <v>198</v>
      </c>
      <c r="AR120" t="s">
        <v>194</v>
      </c>
      <c r="AS120" t="s">
        <v>199</v>
      </c>
      <c r="AU120" t="s">
        <v>197</v>
      </c>
      <c r="AZ120" t="s">
        <v>194</v>
      </c>
      <c r="BA120" t="s">
        <v>200</v>
      </c>
      <c r="BB120" t="s">
        <v>201</v>
      </c>
      <c r="BD120" t="s">
        <v>200</v>
      </c>
      <c r="BE120" t="s">
        <v>202</v>
      </c>
      <c r="BF120" t="s">
        <v>197</v>
      </c>
      <c r="BG120" t="s">
        <v>238</v>
      </c>
      <c r="BH120">
        <v>3</v>
      </c>
      <c r="BJ120" t="s">
        <v>205</v>
      </c>
      <c r="BK120" t="s">
        <v>206</v>
      </c>
      <c r="BL120" t="s">
        <v>194</v>
      </c>
      <c r="BO120" t="s">
        <v>200</v>
      </c>
      <c r="BP120" t="s">
        <v>200</v>
      </c>
      <c r="BR120" t="s">
        <v>207</v>
      </c>
      <c r="BS120" t="s">
        <v>208</v>
      </c>
      <c r="BT120" t="s">
        <v>197</v>
      </c>
      <c r="BV120" t="s">
        <v>233</v>
      </c>
      <c r="CA120" t="s">
        <v>194</v>
      </c>
      <c r="CB120" t="s">
        <v>214</v>
      </c>
      <c r="CF120" t="s">
        <v>215</v>
      </c>
      <c r="CH120" t="s">
        <v>214</v>
      </c>
      <c r="CI120" t="s">
        <v>214</v>
      </c>
      <c r="CJ120" t="s">
        <v>214</v>
      </c>
      <c r="CP120" t="s">
        <v>214</v>
      </c>
      <c r="CS120" t="s">
        <v>216</v>
      </c>
      <c r="CV120" t="s">
        <v>214</v>
      </c>
      <c r="CW120" t="s">
        <v>214</v>
      </c>
      <c r="CX120" t="s">
        <v>217</v>
      </c>
      <c r="CY120" t="s">
        <v>214</v>
      </c>
      <c r="DA120" t="s">
        <v>218</v>
      </c>
    </row>
    <row r="121" spans="1:105" x14ac:dyDescent="0.3">
      <c r="A121">
        <v>1227691</v>
      </c>
      <c r="B121">
        <v>897533</v>
      </c>
      <c r="C121" t="str">
        <f>"120922601966"</f>
        <v>120922601966</v>
      </c>
      <c r="D121" t="s">
        <v>405</v>
      </c>
      <c r="E121" t="s">
        <v>614</v>
      </c>
      <c r="F121" t="s">
        <v>407</v>
      </c>
      <c r="G121" s="1">
        <v>41174</v>
      </c>
      <c r="I121" t="s">
        <v>222</v>
      </c>
      <c r="J121" t="s">
        <v>188</v>
      </c>
      <c r="K121" t="s">
        <v>189</v>
      </c>
      <c r="Y121" t="str">
        <f>"2018-09-01T00:00:00"</f>
        <v>2018-09-01T00:00:00</v>
      </c>
      <c r="Z121" t="str">
        <f>"№26"</f>
        <v>№26</v>
      </c>
      <c r="AA121" t="s">
        <v>224</v>
      </c>
      <c r="AC121" t="s">
        <v>191</v>
      </c>
      <c r="AD121" t="s">
        <v>615</v>
      </c>
      <c r="AE121" t="s">
        <v>227</v>
      </c>
      <c r="AF121" t="s">
        <v>194</v>
      </c>
      <c r="AH121" t="s">
        <v>195</v>
      </c>
      <c r="AI121">
        <v>1</v>
      </c>
      <c r="AJ121" t="s">
        <v>196</v>
      </c>
      <c r="AK121" t="s">
        <v>194</v>
      </c>
      <c r="AL121" t="s">
        <v>197</v>
      </c>
      <c r="AM121" t="s">
        <v>228</v>
      </c>
      <c r="AR121" t="s">
        <v>194</v>
      </c>
      <c r="AS121" t="s">
        <v>199</v>
      </c>
      <c r="AU121" t="s">
        <v>197</v>
      </c>
      <c r="AZ121" t="s">
        <v>194</v>
      </c>
      <c r="BA121" t="s">
        <v>200</v>
      </c>
      <c r="BB121" t="s">
        <v>201</v>
      </c>
      <c r="BC121" t="s">
        <v>200</v>
      </c>
      <c r="BE121" t="s">
        <v>244</v>
      </c>
      <c r="BF121" t="s">
        <v>197</v>
      </c>
      <c r="BG121" t="s">
        <v>238</v>
      </c>
      <c r="BH121">
        <v>5</v>
      </c>
      <c r="BJ121" t="s">
        <v>205</v>
      </c>
      <c r="BK121" t="s">
        <v>206</v>
      </c>
      <c r="BL121" t="s">
        <v>194</v>
      </c>
      <c r="BO121" t="s">
        <v>200</v>
      </c>
      <c r="BP121" t="s">
        <v>200</v>
      </c>
      <c r="BQ121" s="2">
        <v>44805</v>
      </c>
      <c r="BR121" t="s">
        <v>232</v>
      </c>
      <c r="BT121" t="s">
        <v>197</v>
      </c>
      <c r="BV121" t="s">
        <v>471</v>
      </c>
      <c r="BW121" t="s">
        <v>416</v>
      </c>
      <c r="BX121" t="s">
        <v>539</v>
      </c>
      <c r="BY121" t="s">
        <v>534</v>
      </c>
      <c r="BZ121" t="s">
        <v>616</v>
      </c>
      <c r="CA121" t="s">
        <v>194</v>
      </c>
      <c r="CB121" t="s">
        <v>194</v>
      </c>
      <c r="CC121" t="s">
        <v>264</v>
      </c>
      <c r="CD121" t="s">
        <v>265</v>
      </c>
      <c r="CE121" t="s">
        <v>266</v>
      </c>
      <c r="CF121" t="s">
        <v>215</v>
      </c>
      <c r="CH121" t="s">
        <v>214</v>
      </c>
      <c r="CI121" t="s">
        <v>214</v>
      </c>
      <c r="CJ121" t="s">
        <v>214</v>
      </c>
      <c r="CP121" t="s">
        <v>214</v>
      </c>
      <c r="CS121" t="s">
        <v>216</v>
      </c>
      <c r="CV121" t="s">
        <v>214</v>
      </c>
      <c r="CW121" t="s">
        <v>214</v>
      </c>
      <c r="CX121" t="s">
        <v>217</v>
      </c>
      <c r="CY121" t="s">
        <v>214</v>
      </c>
      <c r="DA121" t="s">
        <v>218</v>
      </c>
    </row>
    <row r="122" spans="1:105" x14ac:dyDescent="0.3">
      <c r="A122">
        <v>1227761</v>
      </c>
      <c r="B122">
        <v>932887</v>
      </c>
      <c r="C122" t="str">
        <f>"070916652351"</f>
        <v>070916652351</v>
      </c>
      <c r="D122" t="s">
        <v>617</v>
      </c>
      <c r="E122" t="s">
        <v>330</v>
      </c>
      <c r="F122" t="s">
        <v>336</v>
      </c>
      <c r="G122" s="1">
        <v>39341</v>
      </c>
      <c r="I122" t="s">
        <v>222</v>
      </c>
      <c r="J122" t="s">
        <v>188</v>
      </c>
      <c r="K122" t="s">
        <v>345</v>
      </c>
      <c r="Y122" t="str">
        <f>"2014-09-01T00:00:00"</f>
        <v>2014-09-01T00:00:00</v>
      </c>
      <c r="Z122" t="str">
        <f>"№76"</f>
        <v>№76</v>
      </c>
      <c r="AA122" t="s">
        <v>224</v>
      </c>
      <c r="AB122" t="str">
        <f>"akm_arshalu_novoaleksandrovka@mail.ru"</f>
        <v>akm_arshalu_novoaleksandrovka@mail.ru</v>
      </c>
      <c r="AC122" t="s">
        <v>237</v>
      </c>
      <c r="AD122" t="s">
        <v>192</v>
      </c>
      <c r="AE122" t="s">
        <v>227</v>
      </c>
      <c r="AF122" t="s">
        <v>194</v>
      </c>
      <c r="AH122" t="s">
        <v>195</v>
      </c>
      <c r="AI122">
        <v>1</v>
      </c>
      <c r="AJ122" t="s">
        <v>196</v>
      </c>
      <c r="AK122" t="s">
        <v>194</v>
      </c>
      <c r="AL122" t="s">
        <v>197</v>
      </c>
      <c r="AM122" t="s">
        <v>228</v>
      </c>
      <c r="AR122" t="s">
        <v>194</v>
      </c>
      <c r="AS122" t="s">
        <v>199</v>
      </c>
      <c r="AU122" t="s">
        <v>197</v>
      </c>
      <c r="AZ122" t="s">
        <v>194</v>
      </c>
      <c r="BA122" t="s">
        <v>200</v>
      </c>
      <c r="BB122" t="s">
        <v>201</v>
      </c>
      <c r="BD122" t="s">
        <v>200</v>
      </c>
      <c r="BE122" t="s">
        <v>202</v>
      </c>
      <c r="BF122" t="s">
        <v>197</v>
      </c>
      <c r="BG122" t="s">
        <v>290</v>
      </c>
      <c r="BH122" t="s">
        <v>618</v>
      </c>
      <c r="BJ122" t="s">
        <v>205</v>
      </c>
      <c r="BK122" t="s">
        <v>206</v>
      </c>
      <c r="BL122" t="s">
        <v>194</v>
      </c>
      <c r="BO122" t="s">
        <v>216</v>
      </c>
      <c r="BP122" t="s">
        <v>216</v>
      </c>
      <c r="BR122" t="s">
        <v>232</v>
      </c>
      <c r="BT122" t="s">
        <v>197</v>
      </c>
      <c r="BV122" t="s">
        <v>233</v>
      </c>
      <c r="CA122" t="s">
        <v>194</v>
      </c>
      <c r="CB122" t="s">
        <v>214</v>
      </c>
      <c r="CF122" t="s">
        <v>215</v>
      </c>
      <c r="CH122" t="s">
        <v>214</v>
      </c>
      <c r="CI122" t="s">
        <v>214</v>
      </c>
      <c r="CJ122" t="s">
        <v>214</v>
      </c>
      <c r="CP122" t="s">
        <v>214</v>
      </c>
      <c r="CS122" t="s">
        <v>216</v>
      </c>
      <c r="CV122" t="s">
        <v>214</v>
      </c>
      <c r="CW122" t="s">
        <v>214</v>
      </c>
      <c r="CX122" t="s">
        <v>217</v>
      </c>
      <c r="CY122" t="s">
        <v>214</v>
      </c>
      <c r="DA122" t="s">
        <v>218</v>
      </c>
    </row>
    <row r="123" spans="1:105" x14ac:dyDescent="0.3">
      <c r="A123">
        <v>1227864</v>
      </c>
      <c r="B123">
        <v>932952</v>
      </c>
      <c r="C123" t="str">
        <f>"070910652150"</f>
        <v>070910652150</v>
      </c>
      <c r="D123" t="s">
        <v>619</v>
      </c>
      <c r="E123" t="s">
        <v>620</v>
      </c>
      <c r="F123" t="s">
        <v>268</v>
      </c>
      <c r="G123" s="1">
        <v>39335</v>
      </c>
      <c r="I123" t="s">
        <v>222</v>
      </c>
      <c r="J123" t="s">
        <v>188</v>
      </c>
      <c r="K123" t="s">
        <v>223</v>
      </c>
      <c r="Y123" t="str">
        <f>"2016-08-19T00:00:00"</f>
        <v>2016-08-19T00:00:00</v>
      </c>
      <c r="Z123" t="str">
        <f>"№37"</f>
        <v>№37</v>
      </c>
      <c r="AA123" t="s">
        <v>190</v>
      </c>
      <c r="AB123" t="str">
        <f>"akm_arshalu_novoaleksandrovka@mail.ru"</f>
        <v>akm_arshalu_novoaleksandrovka@mail.ru</v>
      </c>
      <c r="AC123" t="s">
        <v>225</v>
      </c>
      <c r="AD123" t="s">
        <v>192</v>
      </c>
      <c r="AE123" t="s">
        <v>193</v>
      </c>
      <c r="AF123" t="s">
        <v>194</v>
      </c>
      <c r="AH123" t="s">
        <v>195</v>
      </c>
      <c r="AI123">
        <v>2</v>
      </c>
      <c r="AJ123" t="s">
        <v>196</v>
      </c>
      <c r="AK123" t="s">
        <v>194</v>
      </c>
      <c r="AL123" t="s">
        <v>197</v>
      </c>
      <c r="AM123" t="s">
        <v>228</v>
      </c>
      <c r="AR123" t="s">
        <v>194</v>
      </c>
      <c r="AS123" t="s">
        <v>199</v>
      </c>
      <c r="AU123" t="s">
        <v>197</v>
      </c>
      <c r="AZ123" t="s">
        <v>194</v>
      </c>
      <c r="BA123" t="s">
        <v>200</v>
      </c>
      <c r="BB123" t="s">
        <v>201</v>
      </c>
      <c r="BD123" t="s">
        <v>200</v>
      </c>
      <c r="BE123" t="s">
        <v>202</v>
      </c>
      <c r="BF123" t="s">
        <v>197</v>
      </c>
      <c r="BG123" t="s">
        <v>290</v>
      </c>
      <c r="BH123" t="s">
        <v>391</v>
      </c>
      <c r="BJ123" t="s">
        <v>205</v>
      </c>
      <c r="BK123" t="s">
        <v>206</v>
      </c>
      <c r="BL123" t="s">
        <v>194</v>
      </c>
      <c r="BO123" t="s">
        <v>200</v>
      </c>
      <c r="BP123" t="s">
        <v>200</v>
      </c>
      <c r="BR123" t="s">
        <v>232</v>
      </c>
      <c r="BT123" t="s">
        <v>197</v>
      </c>
      <c r="BV123" t="s">
        <v>233</v>
      </c>
      <c r="CA123" t="s">
        <v>194</v>
      </c>
      <c r="CB123" t="s">
        <v>214</v>
      </c>
      <c r="CF123" t="s">
        <v>215</v>
      </c>
      <c r="CH123" t="s">
        <v>214</v>
      </c>
      <c r="CI123" t="s">
        <v>214</v>
      </c>
      <c r="CJ123" t="s">
        <v>214</v>
      </c>
      <c r="CP123" t="s">
        <v>214</v>
      </c>
      <c r="CS123" t="s">
        <v>216</v>
      </c>
      <c r="CV123" t="s">
        <v>214</v>
      </c>
      <c r="CW123" t="s">
        <v>214</v>
      </c>
      <c r="CX123" t="s">
        <v>217</v>
      </c>
      <c r="CY123" t="s">
        <v>214</v>
      </c>
      <c r="DA123" t="s">
        <v>218</v>
      </c>
    </row>
    <row r="124" spans="1:105" x14ac:dyDescent="0.3">
      <c r="A124">
        <v>1227879</v>
      </c>
      <c r="B124">
        <v>932958</v>
      </c>
      <c r="C124" t="str">
        <f>"070929550776"</f>
        <v>070929550776</v>
      </c>
      <c r="D124" t="s">
        <v>276</v>
      </c>
      <c r="E124" t="s">
        <v>621</v>
      </c>
      <c r="F124" t="s">
        <v>622</v>
      </c>
      <c r="G124" s="1">
        <v>39354</v>
      </c>
      <c r="I124" t="s">
        <v>187</v>
      </c>
      <c r="J124" t="s">
        <v>188</v>
      </c>
      <c r="K124" t="s">
        <v>189</v>
      </c>
      <c r="Y124" t="str">
        <f>"2016-08-19T00:00:00"</f>
        <v>2016-08-19T00:00:00</v>
      </c>
      <c r="Z124" t="str">
        <f>"№37"</f>
        <v>№37</v>
      </c>
      <c r="AA124" t="s">
        <v>190</v>
      </c>
      <c r="AB124" t="str">
        <f>"akm_arshalu_novoaleksandrovka@mail.ru"</f>
        <v>akm_arshalu_novoaleksandrovka@mail.ru</v>
      </c>
      <c r="AC124" t="s">
        <v>237</v>
      </c>
      <c r="AD124" t="s">
        <v>192</v>
      </c>
      <c r="AE124" t="s">
        <v>193</v>
      </c>
      <c r="AF124" t="s">
        <v>194</v>
      </c>
      <c r="AH124" t="s">
        <v>195</v>
      </c>
      <c r="AI124">
        <v>1</v>
      </c>
      <c r="AJ124" t="s">
        <v>196</v>
      </c>
      <c r="AK124" t="s">
        <v>194</v>
      </c>
      <c r="AL124" t="s">
        <v>197</v>
      </c>
      <c r="AM124" t="s">
        <v>228</v>
      </c>
      <c r="AR124" t="s">
        <v>194</v>
      </c>
      <c r="AS124" t="s">
        <v>199</v>
      </c>
      <c r="AU124" t="s">
        <v>197</v>
      </c>
      <c r="AZ124" t="s">
        <v>194</v>
      </c>
      <c r="BA124" t="s">
        <v>200</v>
      </c>
      <c r="BB124" t="s">
        <v>201</v>
      </c>
      <c r="BD124" t="s">
        <v>200</v>
      </c>
      <c r="BE124" t="s">
        <v>229</v>
      </c>
      <c r="BF124" t="s">
        <v>197</v>
      </c>
      <c r="BG124" t="s">
        <v>623</v>
      </c>
      <c r="BH124" t="s">
        <v>624</v>
      </c>
      <c r="BJ124" t="s">
        <v>205</v>
      </c>
      <c r="BK124" t="s">
        <v>206</v>
      </c>
      <c r="BL124" t="s">
        <v>194</v>
      </c>
      <c r="BO124" t="s">
        <v>200</v>
      </c>
      <c r="BP124" t="s">
        <v>200</v>
      </c>
      <c r="BR124" t="s">
        <v>232</v>
      </c>
      <c r="BT124" t="s">
        <v>197</v>
      </c>
      <c r="BV124" t="s">
        <v>233</v>
      </c>
      <c r="CA124" t="s">
        <v>194</v>
      </c>
      <c r="CB124" t="s">
        <v>214</v>
      </c>
      <c r="CF124" t="s">
        <v>215</v>
      </c>
      <c r="CH124" t="s">
        <v>214</v>
      </c>
      <c r="CI124" t="s">
        <v>214</v>
      </c>
      <c r="CJ124" t="s">
        <v>214</v>
      </c>
      <c r="CP124" t="s">
        <v>214</v>
      </c>
      <c r="CS124" t="s">
        <v>216</v>
      </c>
      <c r="CV124" t="s">
        <v>214</v>
      </c>
      <c r="CW124" t="s">
        <v>214</v>
      </c>
      <c r="CX124" t="s">
        <v>217</v>
      </c>
      <c r="CY124" t="s">
        <v>214</v>
      </c>
      <c r="DA124" t="s">
        <v>218</v>
      </c>
    </row>
    <row r="125" spans="1:105" x14ac:dyDescent="0.3">
      <c r="A125">
        <v>1227942</v>
      </c>
      <c r="B125">
        <v>616191</v>
      </c>
      <c r="C125" t="str">
        <f>"120518504145"</f>
        <v>120518504145</v>
      </c>
      <c r="D125" t="s">
        <v>625</v>
      </c>
      <c r="E125" t="s">
        <v>512</v>
      </c>
      <c r="F125" t="s">
        <v>626</v>
      </c>
      <c r="G125" s="1">
        <v>41047</v>
      </c>
      <c r="I125" t="s">
        <v>187</v>
      </c>
      <c r="J125" t="s">
        <v>188</v>
      </c>
      <c r="K125" t="s">
        <v>373</v>
      </c>
      <c r="Y125" t="str">
        <f>"2018-08-27T00:00:00"</f>
        <v>2018-08-27T00:00:00</v>
      </c>
      <c r="Z125" t="str">
        <f>"№21"</f>
        <v>№21</v>
      </c>
      <c r="AA125" t="s">
        <v>224</v>
      </c>
      <c r="AC125" t="s">
        <v>225</v>
      </c>
      <c r="AD125" t="s">
        <v>285</v>
      </c>
      <c r="AE125" t="s">
        <v>243</v>
      </c>
      <c r="AF125" t="s">
        <v>194</v>
      </c>
      <c r="AH125" t="s">
        <v>195</v>
      </c>
      <c r="AI125">
        <v>2</v>
      </c>
      <c r="AJ125" t="s">
        <v>196</v>
      </c>
      <c r="AK125" t="s">
        <v>194</v>
      </c>
      <c r="AL125" t="s">
        <v>197</v>
      </c>
      <c r="AM125" t="s">
        <v>198</v>
      </c>
      <c r="AQ125" t="str">
        <f>"2020-11-04T09:07:12"</f>
        <v>2020-11-04T09:07:12</v>
      </c>
      <c r="AR125" t="s">
        <v>194</v>
      </c>
      <c r="AS125" t="s">
        <v>199</v>
      </c>
      <c r="AU125" t="s">
        <v>197</v>
      </c>
      <c r="AZ125" t="s">
        <v>194</v>
      </c>
      <c r="BA125" t="s">
        <v>200</v>
      </c>
      <c r="BB125" t="s">
        <v>201</v>
      </c>
      <c r="BC125" t="s">
        <v>627</v>
      </c>
      <c r="BE125" t="s">
        <v>202</v>
      </c>
      <c r="BF125" t="s">
        <v>197</v>
      </c>
      <c r="BG125" t="s">
        <v>230</v>
      </c>
      <c r="BH125" t="s">
        <v>420</v>
      </c>
      <c r="BJ125" t="s">
        <v>205</v>
      </c>
      <c r="BK125" t="s">
        <v>206</v>
      </c>
      <c r="BL125" t="s">
        <v>194</v>
      </c>
      <c r="BO125" t="s">
        <v>216</v>
      </c>
      <c r="BP125" t="s">
        <v>216</v>
      </c>
      <c r="BQ125" t="s">
        <v>286</v>
      </c>
      <c r="BR125" t="s">
        <v>232</v>
      </c>
      <c r="BT125" t="s">
        <v>197</v>
      </c>
      <c r="BV125" t="s">
        <v>233</v>
      </c>
      <c r="CA125" t="s">
        <v>194</v>
      </c>
      <c r="CB125" t="s">
        <v>194</v>
      </c>
      <c r="CC125" t="s">
        <v>264</v>
      </c>
      <c r="CD125" t="s">
        <v>265</v>
      </c>
      <c r="CE125" t="s">
        <v>266</v>
      </c>
      <c r="CF125" t="s">
        <v>215</v>
      </c>
      <c r="CH125" t="s">
        <v>214</v>
      </c>
      <c r="CI125" t="s">
        <v>214</v>
      </c>
      <c r="CJ125" t="s">
        <v>214</v>
      </c>
      <c r="CP125" t="s">
        <v>214</v>
      </c>
      <c r="CS125" t="s">
        <v>216</v>
      </c>
      <c r="CV125" t="s">
        <v>214</v>
      </c>
      <c r="CW125" t="s">
        <v>214</v>
      </c>
      <c r="CX125" t="s">
        <v>217</v>
      </c>
      <c r="CY125" t="s">
        <v>214</v>
      </c>
      <c r="DA125" t="s">
        <v>218</v>
      </c>
    </row>
    <row r="126" spans="1:105" x14ac:dyDescent="0.3">
      <c r="A126">
        <v>1228089</v>
      </c>
      <c r="B126">
        <v>933083</v>
      </c>
      <c r="C126" t="str">
        <f>"100828653366"</f>
        <v>100828653366</v>
      </c>
      <c r="D126" t="s">
        <v>628</v>
      </c>
      <c r="E126" t="s">
        <v>581</v>
      </c>
      <c r="F126" t="s">
        <v>464</v>
      </c>
      <c r="G126" s="1">
        <v>40418</v>
      </c>
      <c r="I126" t="s">
        <v>222</v>
      </c>
      <c r="J126" t="s">
        <v>188</v>
      </c>
      <c r="K126" t="s">
        <v>223</v>
      </c>
      <c r="Y126" t="str">
        <f>"2016-08-29T00:00:00"</f>
        <v>2016-08-29T00:00:00</v>
      </c>
      <c r="Z126" t="str">
        <f>"№39"</f>
        <v>№39</v>
      </c>
      <c r="AA126" t="s">
        <v>190</v>
      </c>
      <c r="AC126" t="s">
        <v>191</v>
      </c>
      <c r="AD126" t="s">
        <v>242</v>
      </c>
      <c r="AE126" t="s">
        <v>413</v>
      </c>
      <c r="AF126" t="s">
        <v>194</v>
      </c>
      <c r="AH126" t="s">
        <v>195</v>
      </c>
      <c r="AI126">
        <v>1</v>
      </c>
      <c r="AJ126" t="s">
        <v>196</v>
      </c>
      <c r="AK126" t="s">
        <v>194</v>
      </c>
      <c r="AL126" t="s">
        <v>197</v>
      </c>
      <c r="AM126" t="s">
        <v>228</v>
      </c>
      <c r="AR126" t="s">
        <v>194</v>
      </c>
      <c r="AS126" t="s">
        <v>199</v>
      </c>
      <c r="AU126" t="s">
        <v>197</v>
      </c>
      <c r="AZ126" t="s">
        <v>194</v>
      </c>
      <c r="BA126" t="s">
        <v>200</v>
      </c>
      <c r="BB126" t="s">
        <v>201</v>
      </c>
      <c r="BD126" t="s">
        <v>200</v>
      </c>
      <c r="BE126" t="s">
        <v>229</v>
      </c>
      <c r="BF126" t="s">
        <v>197</v>
      </c>
      <c r="BG126" t="s">
        <v>238</v>
      </c>
      <c r="BH126">
        <v>4</v>
      </c>
      <c r="BJ126" t="s">
        <v>205</v>
      </c>
      <c r="BK126" t="s">
        <v>206</v>
      </c>
      <c r="BL126" t="s">
        <v>194</v>
      </c>
      <c r="BO126" t="s">
        <v>216</v>
      </c>
      <c r="BP126" t="s">
        <v>216</v>
      </c>
      <c r="BR126" t="s">
        <v>232</v>
      </c>
      <c r="BT126" t="s">
        <v>197</v>
      </c>
      <c r="BV126" t="s">
        <v>233</v>
      </c>
      <c r="CA126" t="s">
        <v>194</v>
      </c>
      <c r="CB126" t="s">
        <v>214</v>
      </c>
      <c r="CF126" t="s">
        <v>215</v>
      </c>
      <c r="CH126" t="s">
        <v>214</v>
      </c>
      <c r="CI126" t="s">
        <v>214</v>
      </c>
      <c r="CJ126" t="s">
        <v>214</v>
      </c>
      <c r="CP126" t="s">
        <v>214</v>
      </c>
      <c r="CS126" t="s">
        <v>216</v>
      </c>
      <c r="CV126" t="s">
        <v>214</v>
      </c>
      <c r="CW126" t="s">
        <v>214</v>
      </c>
      <c r="CX126" t="s">
        <v>217</v>
      </c>
      <c r="CY126" t="s">
        <v>214</v>
      </c>
      <c r="DA126" t="s">
        <v>218</v>
      </c>
    </row>
    <row r="127" spans="1:105" x14ac:dyDescent="0.3">
      <c r="A127">
        <v>1228145</v>
      </c>
      <c r="B127">
        <v>933114</v>
      </c>
      <c r="C127" t="str">
        <f>"090810653070"</f>
        <v>090810653070</v>
      </c>
      <c r="D127" t="s">
        <v>629</v>
      </c>
      <c r="E127" t="s">
        <v>630</v>
      </c>
      <c r="F127" t="s">
        <v>631</v>
      </c>
      <c r="G127" s="1">
        <v>40035</v>
      </c>
      <c r="I127" t="s">
        <v>222</v>
      </c>
      <c r="J127" t="s">
        <v>188</v>
      </c>
      <c r="K127" t="s">
        <v>223</v>
      </c>
      <c r="Y127" t="str">
        <f>"2015-09-01T00:00:00"</f>
        <v>2015-09-01T00:00:00</v>
      </c>
      <c r="Z127" t="str">
        <f>"№46"</f>
        <v>№46</v>
      </c>
      <c r="AA127" t="s">
        <v>190</v>
      </c>
      <c r="AC127" t="s">
        <v>225</v>
      </c>
      <c r="AD127" t="s">
        <v>242</v>
      </c>
      <c r="AE127" t="s">
        <v>193</v>
      </c>
      <c r="AF127" t="s">
        <v>194</v>
      </c>
      <c r="AH127" t="s">
        <v>195</v>
      </c>
      <c r="AI127">
        <v>1</v>
      </c>
      <c r="AJ127" t="s">
        <v>196</v>
      </c>
      <c r="AK127" t="s">
        <v>194</v>
      </c>
      <c r="AL127" t="s">
        <v>197</v>
      </c>
      <c r="AM127" t="s">
        <v>228</v>
      </c>
      <c r="AR127" t="s">
        <v>194</v>
      </c>
      <c r="AS127" t="s">
        <v>199</v>
      </c>
      <c r="AU127" t="s">
        <v>197</v>
      </c>
      <c r="AZ127" t="s">
        <v>194</v>
      </c>
      <c r="BA127" t="s">
        <v>200</v>
      </c>
      <c r="BB127" t="s">
        <v>201</v>
      </c>
      <c r="BD127" t="s">
        <v>200</v>
      </c>
      <c r="BE127" t="s">
        <v>229</v>
      </c>
      <c r="BF127" t="s">
        <v>197</v>
      </c>
      <c r="BG127" t="s">
        <v>230</v>
      </c>
      <c r="BH127" t="s">
        <v>299</v>
      </c>
      <c r="BJ127" t="s">
        <v>205</v>
      </c>
      <c r="BK127" t="s">
        <v>206</v>
      </c>
      <c r="BL127" t="s">
        <v>194</v>
      </c>
      <c r="BO127" t="s">
        <v>216</v>
      </c>
      <c r="BP127" t="s">
        <v>216</v>
      </c>
      <c r="BR127" t="s">
        <v>232</v>
      </c>
      <c r="BT127" t="s">
        <v>197</v>
      </c>
      <c r="BV127" t="s">
        <v>233</v>
      </c>
      <c r="CA127" t="s">
        <v>214</v>
      </c>
      <c r="CB127" t="s">
        <v>214</v>
      </c>
      <c r="CF127" t="s">
        <v>215</v>
      </c>
      <c r="CH127" t="s">
        <v>214</v>
      </c>
      <c r="CI127" t="s">
        <v>214</v>
      </c>
      <c r="CJ127" t="s">
        <v>214</v>
      </c>
      <c r="CP127" t="s">
        <v>214</v>
      </c>
      <c r="CS127" t="s">
        <v>216</v>
      </c>
      <c r="CV127" t="s">
        <v>214</v>
      </c>
      <c r="CW127" t="s">
        <v>214</v>
      </c>
      <c r="CX127" t="s">
        <v>217</v>
      </c>
      <c r="CY127" t="s">
        <v>214</v>
      </c>
      <c r="DA127" t="s">
        <v>218</v>
      </c>
    </row>
    <row r="128" spans="1:105" x14ac:dyDescent="0.3">
      <c r="A128">
        <v>1228162</v>
      </c>
      <c r="B128">
        <v>933124</v>
      </c>
      <c r="C128" t="str">
        <f>"090113652627"</f>
        <v>090113652627</v>
      </c>
      <c r="D128" t="s">
        <v>632</v>
      </c>
      <c r="E128" t="s">
        <v>633</v>
      </c>
      <c r="F128" t="s">
        <v>634</v>
      </c>
      <c r="G128" s="1">
        <v>39826</v>
      </c>
      <c r="I128" t="s">
        <v>222</v>
      </c>
      <c r="J128" t="s">
        <v>188</v>
      </c>
      <c r="K128" t="s">
        <v>189</v>
      </c>
      <c r="Y128" t="str">
        <f>"2015-09-01T00:00:00"</f>
        <v>2015-09-01T00:00:00</v>
      </c>
      <c r="Z128" t="str">
        <f>"№46"</f>
        <v>№46</v>
      </c>
      <c r="AA128" t="s">
        <v>190</v>
      </c>
      <c r="AC128" t="s">
        <v>225</v>
      </c>
      <c r="AD128" t="s">
        <v>226</v>
      </c>
      <c r="AE128" t="s">
        <v>193</v>
      </c>
      <c r="AF128" t="s">
        <v>194</v>
      </c>
      <c r="AH128" t="s">
        <v>195</v>
      </c>
      <c r="AI128">
        <v>2</v>
      </c>
      <c r="AJ128" t="s">
        <v>196</v>
      </c>
      <c r="AK128" t="s">
        <v>194</v>
      </c>
      <c r="AL128" t="s">
        <v>197</v>
      </c>
      <c r="AM128" t="s">
        <v>198</v>
      </c>
      <c r="AR128" t="s">
        <v>194</v>
      </c>
      <c r="AS128" t="s">
        <v>199</v>
      </c>
      <c r="AU128" t="s">
        <v>197</v>
      </c>
      <c r="AZ128" t="s">
        <v>194</v>
      </c>
      <c r="BA128" t="s">
        <v>200</v>
      </c>
      <c r="BB128" t="s">
        <v>201</v>
      </c>
      <c r="BD128" t="s">
        <v>200</v>
      </c>
      <c r="BE128" t="s">
        <v>229</v>
      </c>
      <c r="BF128" t="s">
        <v>197</v>
      </c>
      <c r="BG128" t="s">
        <v>238</v>
      </c>
      <c r="BH128">
        <v>4</v>
      </c>
      <c r="BJ128" t="s">
        <v>205</v>
      </c>
      <c r="BK128" t="s">
        <v>206</v>
      </c>
      <c r="BL128" t="s">
        <v>194</v>
      </c>
      <c r="BO128" t="s">
        <v>216</v>
      </c>
      <c r="BP128" t="s">
        <v>216</v>
      </c>
      <c r="BR128" t="s">
        <v>232</v>
      </c>
      <c r="BT128" t="s">
        <v>197</v>
      </c>
      <c r="BV128" t="s">
        <v>233</v>
      </c>
      <c r="CA128" t="s">
        <v>194</v>
      </c>
      <c r="CB128" t="s">
        <v>214</v>
      </c>
      <c r="CF128" t="s">
        <v>215</v>
      </c>
      <c r="CH128" t="s">
        <v>214</v>
      </c>
      <c r="CI128" t="s">
        <v>214</v>
      </c>
      <c r="CJ128" t="s">
        <v>214</v>
      </c>
      <c r="CP128" t="s">
        <v>214</v>
      </c>
      <c r="CS128" t="s">
        <v>216</v>
      </c>
      <c r="CV128" t="s">
        <v>214</v>
      </c>
      <c r="CW128" t="s">
        <v>214</v>
      </c>
      <c r="CX128" t="s">
        <v>217</v>
      </c>
      <c r="CY128" t="s">
        <v>214</v>
      </c>
      <c r="DA128" t="s">
        <v>218</v>
      </c>
    </row>
    <row r="129" spans="1:105" x14ac:dyDescent="0.3">
      <c r="A129">
        <v>1228235</v>
      </c>
      <c r="B129">
        <v>933168</v>
      </c>
      <c r="C129" t="str">
        <f>"101013553167"</f>
        <v>101013553167</v>
      </c>
      <c r="D129" t="s">
        <v>635</v>
      </c>
      <c r="E129" t="s">
        <v>636</v>
      </c>
      <c r="F129" t="s">
        <v>637</v>
      </c>
      <c r="G129" s="1">
        <v>40464</v>
      </c>
      <c r="I129" t="s">
        <v>187</v>
      </c>
      <c r="J129" t="s">
        <v>188</v>
      </c>
      <c r="K129" t="s">
        <v>638</v>
      </c>
      <c r="Y129" t="str">
        <f>"2018-08-31T00:00:00"</f>
        <v>2018-08-31T00:00:00</v>
      </c>
      <c r="Z129" t="str">
        <f>"№22"</f>
        <v>№22</v>
      </c>
      <c r="AA129" t="s">
        <v>224</v>
      </c>
      <c r="AC129" t="s">
        <v>191</v>
      </c>
      <c r="AD129" t="s">
        <v>261</v>
      </c>
      <c r="AE129" t="s">
        <v>243</v>
      </c>
      <c r="AF129" t="s">
        <v>194</v>
      </c>
      <c r="AH129" t="s">
        <v>195</v>
      </c>
      <c r="AI129">
        <v>1</v>
      </c>
      <c r="AJ129" t="s">
        <v>196</v>
      </c>
      <c r="AK129" t="s">
        <v>194</v>
      </c>
      <c r="AL129" t="s">
        <v>197</v>
      </c>
      <c r="AM129" t="s">
        <v>198</v>
      </c>
      <c r="AR129" t="s">
        <v>194</v>
      </c>
      <c r="AS129" t="s">
        <v>199</v>
      </c>
      <c r="AU129" t="s">
        <v>197</v>
      </c>
      <c r="AZ129" t="s">
        <v>194</v>
      </c>
      <c r="BA129" t="s">
        <v>200</v>
      </c>
      <c r="BB129" t="s">
        <v>201</v>
      </c>
      <c r="BD129" t="s">
        <v>200</v>
      </c>
      <c r="BE129" t="s">
        <v>202</v>
      </c>
      <c r="BF129" t="s">
        <v>197</v>
      </c>
      <c r="BG129" t="s">
        <v>269</v>
      </c>
      <c r="BH129" t="s">
        <v>279</v>
      </c>
      <c r="BJ129" t="s">
        <v>205</v>
      </c>
      <c r="BK129" t="s">
        <v>206</v>
      </c>
      <c r="BL129" t="s">
        <v>194</v>
      </c>
      <c r="BO129" t="s">
        <v>216</v>
      </c>
      <c r="BP129" t="s">
        <v>216</v>
      </c>
      <c r="BR129" t="s">
        <v>246</v>
      </c>
      <c r="BS129" t="s">
        <v>208</v>
      </c>
      <c r="BT129" t="s">
        <v>197</v>
      </c>
      <c r="BV129" t="s">
        <v>233</v>
      </c>
      <c r="CA129" t="s">
        <v>194</v>
      </c>
      <c r="CB129" t="s">
        <v>194</v>
      </c>
      <c r="CC129" t="s">
        <v>264</v>
      </c>
      <c r="CD129" t="s">
        <v>265</v>
      </c>
      <c r="CE129" t="s">
        <v>266</v>
      </c>
      <c r="CF129" t="s">
        <v>215</v>
      </c>
      <c r="CH129" t="s">
        <v>214</v>
      </c>
      <c r="CI129" t="s">
        <v>214</v>
      </c>
      <c r="CJ129" t="s">
        <v>214</v>
      </c>
      <c r="CP129" t="s">
        <v>214</v>
      </c>
      <c r="CS129" t="s">
        <v>216</v>
      </c>
      <c r="CV129" t="s">
        <v>214</v>
      </c>
      <c r="CW129" t="s">
        <v>214</v>
      </c>
      <c r="CX129" t="s">
        <v>217</v>
      </c>
      <c r="CY129" t="s">
        <v>214</v>
      </c>
      <c r="DA129" t="s">
        <v>218</v>
      </c>
    </row>
    <row r="130" spans="1:105" x14ac:dyDescent="0.3">
      <c r="A130">
        <v>1228355</v>
      </c>
      <c r="B130">
        <v>933235</v>
      </c>
      <c r="C130" t="str">
        <f>"091105652031"</f>
        <v>091105652031</v>
      </c>
      <c r="D130" t="s">
        <v>335</v>
      </c>
      <c r="E130" t="s">
        <v>639</v>
      </c>
      <c r="F130" t="s">
        <v>497</v>
      </c>
      <c r="G130" s="1">
        <v>40122</v>
      </c>
      <c r="I130" t="s">
        <v>222</v>
      </c>
      <c r="J130" t="s">
        <v>188</v>
      </c>
      <c r="K130" t="s">
        <v>338</v>
      </c>
      <c r="Y130" t="str">
        <f>"2018-08-27T00:00:00"</f>
        <v>2018-08-27T00:00:00</v>
      </c>
      <c r="Z130" t="str">
        <f>"№21"</f>
        <v>№21</v>
      </c>
      <c r="AA130" t="s">
        <v>224</v>
      </c>
      <c r="AC130" t="s">
        <v>237</v>
      </c>
      <c r="AD130" t="s">
        <v>242</v>
      </c>
      <c r="AE130" t="s">
        <v>413</v>
      </c>
      <c r="AF130" t="s">
        <v>194</v>
      </c>
      <c r="AH130" t="s">
        <v>195</v>
      </c>
      <c r="AI130">
        <v>1</v>
      </c>
      <c r="AJ130" t="s">
        <v>196</v>
      </c>
      <c r="AK130" t="s">
        <v>194</v>
      </c>
      <c r="AL130" t="s">
        <v>197</v>
      </c>
      <c r="AM130" t="s">
        <v>228</v>
      </c>
      <c r="AR130" t="s">
        <v>194</v>
      </c>
      <c r="AS130" t="s">
        <v>199</v>
      </c>
      <c r="AU130" t="s">
        <v>197</v>
      </c>
      <c r="AZ130" t="s">
        <v>194</v>
      </c>
      <c r="BA130" t="s">
        <v>200</v>
      </c>
      <c r="BB130" t="s">
        <v>201</v>
      </c>
      <c r="BD130" t="s">
        <v>200</v>
      </c>
      <c r="BE130" t="s">
        <v>229</v>
      </c>
      <c r="BF130" t="s">
        <v>197</v>
      </c>
      <c r="BG130" t="s">
        <v>230</v>
      </c>
      <c r="BH130" t="s">
        <v>263</v>
      </c>
      <c r="BJ130" t="s">
        <v>205</v>
      </c>
      <c r="BK130" t="s">
        <v>206</v>
      </c>
      <c r="BL130" t="s">
        <v>194</v>
      </c>
      <c r="BO130" t="s">
        <v>216</v>
      </c>
      <c r="BP130" t="s">
        <v>216</v>
      </c>
      <c r="BR130" t="s">
        <v>232</v>
      </c>
      <c r="BT130" t="s">
        <v>197</v>
      </c>
      <c r="BV130" t="s">
        <v>640</v>
      </c>
      <c r="BW130" t="s">
        <v>641</v>
      </c>
      <c r="BX130" t="s">
        <v>642</v>
      </c>
      <c r="BY130" t="s">
        <v>643</v>
      </c>
      <c r="BZ130" t="s">
        <v>644</v>
      </c>
      <c r="CA130" t="s">
        <v>194</v>
      </c>
      <c r="CB130" t="s">
        <v>214</v>
      </c>
      <c r="CF130" t="s">
        <v>215</v>
      </c>
      <c r="CH130" t="s">
        <v>214</v>
      </c>
      <c r="CI130" t="s">
        <v>214</v>
      </c>
      <c r="CJ130" t="s">
        <v>214</v>
      </c>
      <c r="CP130" t="s">
        <v>214</v>
      </c>
      <c r="CS130" t="s">
        <v>216</v>
      </c>
      <c r="CV130" t="s">
        <v>214</v>
      </c>
      <c r="CW130" t="s">
        <v>214</v>
      </c>
      <c r="CX130" t="s">
        <v>217</v>
      </c>
      <c r="CY130" t="s">
        <v>214</v>
      </c>
      <c r="DA130" t="s">
        <v>218</v>
      </c>
    </row>
    <row r="131" spans="1:105" x14ac:dyDescent="0.3">
      <c r="A131">
        <v>1228373</v>
      </c>
      <c r="B131">
        <v>816795</v>
      </c>
      <c r="C131" t="str">
        <f>"120926603141"</f>
        <v>120926603141</v>
      </c>
      <c r="D131" t="s">
        <v>645</v>
      </c>
      <c r="E131" t="s">
        <v>646</v>
      </c>
      <c r="F131" t="s">
        <v>647</v>
      </c>
      <c r="G131" s="1">
        <v>41178</v>
      </c>
      <c r="I131" t="s">
        <v>222</v>
      </c>
      <c r="J131" t="s">
        <v>188</v>
      </c>
      <c r="K131" t="s">
        <v>189</v>
      </c>
      <c r="Y131" t="str">
        <f>"2018-09-01T00:00:00"</f>
        <v>2018-09-01T00:00:00</v>
      </c>
      <c r="Z131" t="str">
        <f>"№26"</f>
        <v>№26</v>
      </c>
      <c r="AA131" t="s">
        <v>224</v>
      </c>
      <c r="AC131" t="s">
        <v>191</v>
      </c>
      <c r="AD131" t="s">
        <v>615</v>
      </c>
      <c r="AE131" t="s">
        <v>413</v>
      </c>
      <c r="AF131" t="s">
        <v>194</v>
      </c>
      <c r="AH131" t="s">
        <v>195</v>
      </c>
      <c r="AI131">
        <v>1</v>
      </c>
      <c r="AJ131" t="s">
        <v>196</v>
      </c>
      <c r="AK131" t="s">
        <v>194</v>
      </c>
      <c r="AL131" t="s">
        <v>197</v>
      </c>
      <c r="AM131" t="s">
        <v>198</v>
      </c>
      <c r="AR131" t="s">
        <v>194</v>
      </c>
      <c r="AS131" t="s">
        <v>199</v>
      </c>
      <c r="AU131" t="s">
        <v>197</v>
      </c>
      <c r="AZ131" t="s">
        <v>194</v>
      </c>
      <c r="BA131" t="s">
        <v>200</v>
      </c>
      <c r="BB131" t="s">
        <v>201</v>
      </c>
      <c r="BC131" t="s">
        <v>200</v>
      </c>
      <c r="BE131" t="s">
        <v>244</v>
      </c>
      <c r="BF131" t="s">
        <v>197</v>
      </c>
      <c r="BG131" t="s">
        <v>238</v>
      </c>
      <c r="BH131">
        <v>5</v>
      </c>
      <c r="BJ131" t="s">
        <v>205</v>
      </c>
      <c r="BK131" t="s">
        <v>206</v>
      </c>
      <c r="BL131" t="s">
        <v>194</v>
      </c>
      <c r="BO131" t="s">
        <v>216</v>
      </c>
      <c r="BP131" t="s">
        <v>216</v>
      </c>
      <c r="BQ131" s="3">
        <v>45566</v>
      </c>
      <c r="BR131" t="s">
        <v>232</v>
      </c>
      <c r="BT131" t="s">
        <v>197</v>
      </c>
      <c r="BV131" t="s">
        <v>233</v>
      </c>
      <c r="CA131" t="s">
        <v>194</v>
      </c>
      <c r="CB131" t="s">
        <v>194</v>
      </c>
      <c r="CC131" t="s">
        <v>264</v>
      </c>
      <c r="CD131" t="s">
        <v>265</v>
      </c>
      <c r="CE131" t="s">
        <v>266</v>
      </c>
      <c r="CF131" t="s">
        <v>215</v>
      </c>
      <c r="CH131" t="s">
        <v>214</v>
      </c>
      <c r="CI131" t="s">
        <v>214</v>
      </c>
      <c r="CJ131" t="s">
        <v>214</v>
      </c>
      <c r="CP131" t="s">
        <v>214</v>
      </c>
      <c r="CS131" t="s">
        <v>216</v>
      </c>
      <c r="CV131" t="s">
        <v>214</v>
      </c>
      <c r="CW131" t="s">
        <v>214</v>
      </c>
      <c r="CX131" t="s">
        <v>217</v>
      </c>
      <c r="CY131" t="s">
        <v>214</v>
      </c>
      <c r="DA131" t="s">
        <v>218</v>
      </c>
    </row>
    <row r="132" spans="1:105" x14ac:dyDescent="0.3">
      <c r="A132">
        <v>1228408</v>
      </c>
      <c r="B132">
        <v>933267</v>
      </c>
      <c r="C132" t="str">
        <f>"100107653002"</f>
        <v>100107653002</v>
      </c>
      <c r="D132" t="s">
        <v>648</v>
      </c>
      <c r="E132" t="s">
        <v>371</v>
      </c>
      <c r="F132" t="s">
        <v>649</v>
      </c>
      <c r="G132" s="1">
        <v>40185</v>
      </c>
      <c r="I132" t="s">
        <v>222</v>
      </c>
      <c r="J132" t="s">
        <v>188</v>
      </c>
      <c r="K132" t="s">
        <v>650</v>
      </c>
      <c r="Y132" t="str">
        <f t="shared" ref="Y132:Y137" si="8">"2015-09-01T00:00:00"</f>
        <v>2015-09-01T00:00:00</v>
      </c>
      <c r="Z132" t="str">
        <f t="shared" ref="Z132:Z137" si="9">"№46"</f>
        <v>№46</v>
      </c>
      <c r="AA132" t="s">
        <v>224</v>
      </c>
      <c r="AC132" t="s">
        <v>237</v>
      </c>
      <c r="AD132" t="s">
        <v>242</v>
      </c>
      <c r="AE132" t="s">
        <v>227</v>
      </c>
      <c r="AF132" t="s">
        <v>194</v>
      </c>
      <c r="AH132" t="s">
        <v>195</v>
      </c>
      <c r="AI132">
        <v>2</v>
      </c>
      <c r="AJ132" t="s">
        <v>196</v>
      </c>
      <c r="AK132" t="s">
        <v>194</v>
      </c>
      <c r="AL132" t="s">
        <v>197</v>
      </c>
      <c r="AM132" t="s">
        <v>228</v>
      </c>
      <c r="AR132" t="s">
        <v>194</v>
      </c>
      <c r="AS132" t="s">
        <v>199</v>
      </c>
      <c r="AU132" t="s">
        <v>197</v>
      </c>
      <c r="AZ132" t="s">
        <v>194</v>
      </c>
      <c r="BA132" t="s">
        <v>200</v>
      </c>
      <c r="BB132" t="s">
        <v>201</v>
      </c>
      <c r="BD132" t="s">
        <v>200</v>
      </c>
      <c r="BE132" t="s">
        <v>202</v>
      </c>
      <c r="BF132" t="s">
        <v>197</v>
      </c>
      <c r="BG132" t="s">
        <v>262</v>
      </c>
      <c r="BH132" t="s">
        <v>440</v>
      </c>
      <c r="BJ132" t="s">
        <v>205</v>
      </c>
      <c r="BK132" t="s">
        <v>206</v>
      </c>
      <c r="BL132" t="s">
        <v>194</v>
      </c>
      <c r="BO132" t="s">
        <v>216</v>
      </c>
      <c r="BP132" t="s">
        <v>216</v>
      </c>
      <c r="BR132" t="s">
        <v>232</v>
      </c>
      <c r="BT132" t="s">
        <v>197</v>
      </c>
      <c r="BV132" t="s">
        <v>233</v>
      </c>
      <c r="CA132" t="s">
        <v>194</v>
      </c>
      <c r="CB132" t="s">
        <v>214</v>
      </c>
      <c r="CF132" t="s">
        <v>215</v>
      </c>
      <c r="CH132" t="s">
        <v>214</v>
      </c>
      <c r="CI132" t="s">
        <v>214</v>
      </c>
      <c r="CJ132" t="s">
        <v>214</v>
      </c>
      <c r="CP132" t="s">
        <v>214</v>
      </c>
      <c r="CS132" t="s">
        <v>216</v>
      </c>
      <c r="CV132" t="s">
        <v>214</v>
      </c>
      <c r="CW132" t="s">
        <v>214</v>
      </c>
      <c r="CX132" t="s">
        <v>217</v>
      </c>
      <c r="CY132" t="s">
        <v>214</v>
      </c>
      <c r="DA132" t="s">
        <v>218</v>
      </c>
    </row>
    <row r="133" spans="1:105" x14ac:dyDescent="0.3">
      <c r="A133">
        <v>1228414</v>
      </c>
      <c r="B133">
        <v>933270</v>
      </c>
      <c r="C133" t="str">
        <f>"090317654662"</f>
        <v>090317654662</v>
      </c>
      <c r="D133" t="s">
        <v>651</v>
      </c>
      <c r="E133" t="s">
        <v>646</v>
      </c>
      <c r="F133" t="s">
        <v>221</v>
      </c>
      <c r="G133" s="1">
        <v>39889</v>
      </c>
      <c r="I133" t="s">
        <v>222</v>
      </c>
      <c r="J133" t="s">
        <v>188</v>
      </c>
      <c r="K133" t="s">
        <v>189</v>
      </c>
      <c r="Y133" t="str">
        <f t="shared" si="8"/>
        <v>2015-09-01T00:00:00</v>
      </c>
      <c r="Z133" t="str">
        <f t="shared" si="9"/>
        <v>№46</v>
      </c>
      <c r="AA133" t="s">
        <v>224</v>
      </c>
      <c r="AC133" t="s">
        <v>237</v>
      </c>
      <c r="AD133" t="s">
        <v>242</v>
      </c>
      <c r="AE133" t="s">
        <v>193</v>
      </c>
      <c r="AF133" t="s">
        <v>194</v>
      </c>
      <c r="AH133" t="s">
        <v>195</v>
      </c>
      <c r="AI133">
        <v>1</v>
      </c>
      <c r="AJ133" t="s">
        <v>196</v>
      </c>
      <c r="AK133" t="s">
        <v>194</v>
      </c>
      <c r="AL133" t="s">
        <v>197</v>
      </c>
      <c r="AM133" t="s">
        <v>228</v>
      </c>
      <c r="AR133" t="s">
        <v>214</v>
      </c>
      <c r="AU133" t="s">
        <v>197</v>
      </c>
      <c r="AZ133" t="s">
        <v>194</v>
      </c>
      <c r="BA133" t="s">
        <v>200</v>
      </c>
      <c r="BB133" t="s">
        <v>201</v>
      </c>
      <c r="BD133" t="s">
        <v>200</v>
      </c>
      <c r="BE133" t="s">
        <v>229</v>
      </c>
      <c r="BF133" t="s">
        <v>197</v>
      </c>
      <c r="BG133" t="s">
        <v>230</v>
      </c>
      <c r="BH133" t="s">
        <v>456</v>
      </c>
      <c r="BJ133" t="s">
        <v>205</v>
      </c>
      <c r="BK133" t="s">
        <v>206</v>
      </c>
      <c r="BL133" t="s">
        <v>194</v>
      </c>
      <c r="BO133" t="s">
        <v>216</v>
      </c>
      <c r="BP133" t="s">
        <v>216</v>
      </c>
      <c r="BR133" t="s">
        <v>232</v>
      </c>
      <c r="BT133" t="s">
        <v>197</v>
      </c>
      <c r="BV133" t="s">
        <v>233</v>
      </c>
      <c r="CA133" t="s">
        <v>194</v>
      </c>
      <c r="CB133" t="s">
        <v>214</v>
      </c>
      <c r="CF133" t="s">
        <v>215</v>
      </c>
      <c r="CH133" t="s">
        <v>214</v>
      </c>
      <c r="CI133" t="s">
        <v>214</v>
      </c>
      <c r="CJ133" t="s">
        <v>214</v>
      </c>
      <c r="CP133" t="s">
        <v>214</v>
      </c>
      <c r="CS133" t="s">
        <v>216</v>
      </c>
      <c r="CV133" t="s">
        <v>214</v>
      </c>
      <c r="CW133" t="s">
        <v>214</v>
      </c>
      <c r="CX133" t="s">
        <v>217</v>
      </c>
      <c r="CY133" t="s">
        <v>214</v>
      </c>
      <c r="DA133" t="s">
        <v>218</v>
      </c>
    </row>
    <row r="134" spans="1:105" x14ac:dyDescent="0.3">
      <c r="A134">
        <v>1228452</v>
      </c>
      <c r="B134">
        <v>933290</v>
      </c>
      <c r="C134" t="str">
        <f>"081205552572"</f>
        <v>081205552572</v>
      </c>
      <c r="D134" t="s">
        <v>652</v>
      </c>
      <c r="E134" t="s">
        <v>653</v>
      </c>
      <c r="F134" t="s">
        <v>479</v>
      </c>
      <c r="G134" s="1">
        <v>39787</v>
      </c>
      <c r="I134" t="s">
        <v>187</v>
      </c>
      <c r="J134" t="s">
        <v>188</v>
      </c>
      <c r="K134" t="s">
        <v>189</v>
      </c>
      <c r="Y134" t="str">
        <f t="shared" si="8"/>
        <v>2015-09-01T00:00:00</v>
      </c>
      <c r="Z134" t="str">
        <f t="shared" si="9"/>
        <v>№46</v>
      </c>
      <c r="AA134" t="s">
        <v>190</v>
      </c>
      <c r="AC134" t="s">
        <v>225</v>
      </c>
      <c r="AD134" t="s">
        <v>242</v>
      </c>
      <c r="AE134" t="s">
        <v>193</v>
      </c>
      <c r="AF134" t="s">
        <v>194</v>
      </c>
      <c r="AH134" t="s">
        <v>195</v>
      </c>
      <c r="AI134">
        <v>1</v>
      </c>
      <c r="AJ134" t="s">
        <v>196</v>
      </c>
      <c r="AK134" t="s">
        <v>194</v>
      </c>
      <c r="AL134" t="s">
        <v>197</v>
      </c>
      <c r="AM134" t="s">
        <v>228</v>
      </c>
      <c r="AR134" t="s">
        <v>194</v>
      </c>
      <c r="AS134" t="s">
        <v>199</v>
      </c>
      <c r="AU134" t="s">
        <v>197</v>
      </c>
      <c r="AZ134" t="s">
        <v>194</v>
      </c>
      <c r="BA134" t="s">
        <v>200</v>
      </c>
      <c r="BB134" t="s">
        <v>201</v>
      </c>
      <c r="BD134" t="s">
        <v>200</v>
      </c>
      <c r="BE134" t="s">
        <v>202</v>
      </c>
      <c r="BF134" t="s">
        <v>197</v>
      </c>
      <c r="BG134" t="s">
        <v>230</v>
      </c>
      <c r="BH134" t="s">
        <v>420</v>
      </c>
      <c r="BJ134" t="s">
        <v>205</v>
      </c>
      <c r="BK134" t="s">
        <v>206</v>
      </c>
      <c r="BL134" t="s">
        <v>194</v>
      </c>
      <c r="BO134" t="s">
        <v>216</v>
      </c>
      <c r="BP134" t="s">
        <v>216</v>
      </c>
      <c r="BR134" t="s">
        <v>232</v>
      </c>
      <c r="BT134" t="s">
        <v>197</v>
      </c>
      <c r="BV134" t="s">
        <v>233</v>
      </c>
      <c r="CA134" t="s">
        <v>214</v>
      </c>
      <c r="CB134" t="s">
        <v>214</v>
      </c>
      <c r="CF134" t="s">
        <v>215</v>
      </c>
      <c r="CH134" t="s">
        <v>214</v>
      </c>
      <c r="CI134" t="s">
        <v>214</v>
      </c>
      <c r="CJ134" t="s">
        <v>214</v>
      </c>
      <c r="CP134" t="s">
        <v>214</v>
      </c>
      <c r="CS134" t="s">
        <v>216</v>
      </c>
      <c r="CV134" t="s">
        <v>214</v>
      </c>
      <c r="CW134" t="s">
        <v>214</v>
      </c>
      <c r="CX134" t="s">
        <v>217</v>
      </c>
      <c r="CY134" t="s">
        <v>214</v>
      </c>
      <c r="DA134" t="s">
        <v>218</v>
      </c>
    </row>
    <row r="135" spans="1:105" x14ac:dyDescent="0.3">
      <c r="A135">
        <v>1228472</v>
      </c>
      <c r="B135">
        <v>933305</v>
      </c>
      <c r="C135" t="str">
        <f>"090126652599"</f>
        <v>090126652599</v>
      </c>
      <c r="D135" t="s">
        <v>654</v>
      </c>
      <c r="E135" t="s">
        <v>220</v>
      </c>
      <c r="F135" t="s">
        <v>365</v>
      </c>
      <c r="G135" s="1">
        <v>39839</v>
      </c>
      <c r="I135" t="s">
        <v>222</v>
      </c>
      <c r="J135" t="s">
        <v>188</v>
      </c>
      <c r="K135" t="s">
        <v>345</v>
      </c>
      <c r="Y135" t="str">
        <f t="shared" si="8"/>
        <v>2015-09-01T00:00:00</v>
      </c>
      <c r="Z135" t="str">
        <f t="shared" si="9"/>
        <v>№46</v>
      </c>
      <c r="AA135" t="s">
        <v>190</v>
      </c>
      <c r="AC135" t="s">
        <v>225</v>
      </c>
      <c r="AD135" t="s">
        <v>242</v>
      </c>
      <c r="AE135" t="s">
        <v>193</v>
      </c>
      <c r="AF135" t="s">
        <v>194</v>
      </c>
      <c r="AH135" t="s">
        <v>195</v>
      </c>
      <c r="AI135">
        <v>1</v>
      </c>
      <c r="AJ135" t="s">
        <v>196</v>
      </c>
      <c r="AK135" t="s">
        <v>194</v>
      </c>
      <c r="AL135" t="s">
        <v>197</v>
      </c>
      <c r="AM135" t="s">
        <v>228</v>
      </c>
      <c r="AR135" t="s">
        <v>194</v>
      </c>
      <c r="AS135" t="s">
        <v>199</v>
      </c>
      <c r="AU135" t="s">
        <v>197</v>
      </c>
      <c r="AZ135" t="s">
        <v>194</v>
      </c>
      <c r="BA135" t="s">
        <v>200</v>
      </c>
      <c r="BB135" t="s">
        <v>201</v>
      </c>
      <c r="BD135" t="s">
        <v>200</v>
      </c>
      <c r="BE135" t="s">
        <v>244</v>
      </c>
      <c r="BF135" t="s">
        <v>197</v>
      </c>
      <c r="BG135" t="s">
        <v>230</v>
      </c>
      <c r="BH135" t="s">
        <v>245</v>
      </c>
      <c r="BJ135" t="s">
        <v>205</v>
      </c>
      <c r="BK135" t="s">
        <v>206</v>
      </c>
      <c r="BL135" t="s">
        <v>194</v>
      </c>
      <c r="BO135" t="s">
        <v>216</v>
      </c>
      <c r="BP135" t="s">
        <v>216</v>
      </c>
      <c r="BR135" t="s">
        <v>232</v>
      </c>
      <c r="BT135" t="s">
        <v>197</v>
      </c>
      <c r="BV135" t="s">
        <v>233</v>
      </c>
      <c r="CA135" t="s">
        <v>214</v>
      </c>
      <c r="CB135" t="s">
        <v>214</v>
      </c>
      <c r="CF135" t="s">
        <v>215</v>
      </c>
      <c r="CH135" t="s">
        <v>214</v>
      </c>
      <c r="CI135" t="s">
        <v>214</v>
      </c>
      <c r="CJ135" t="s">
        <v>214</v>
      </c>
      <c r="CP135" t="s">
        <v>214</v>
      </c>
      <c r="CS135" t="s">
        <v>216</v>
      </c>
      <c r="CV135" t="s">
        <v>214</v>
      </c>
      <c r="CW135" t="s">
        <v>214</v>
      </c>
      <c r="CX135" t="s">
        <v>217</v>
      </c>
      <c r="CY135" t="s">
        <v>214</v>
      </c>
      <c r="DA135" t="s">
        <v>218</v>
      </c>
    </row>
    <row r="136" spans="1:105" x14ac:dyDescent="0.3">
      <c r="A136">
        <v>1228524</v>
      </c>
      <c r="B136">
        <v>933330</v>
      </c>
      <c r="C136" t="str">
        <f>"090415654902"</f>
        <v>090415654902</v>
      </c>
      <c r="D136" t="s">
        <v>655</v>
      </c>
      <c r="E136" t="s">
        <v>656</v>
      </c>
      <c r="F136" t="s">
        <v>365</v>
      </c>
      <c r="G136" s="1">
        <v>39918</v>
      </c>
      <c r="I136" t="s">
        <v>222</v>
      </c>
      <c r="J136" t="s">
        <v>188</v>
      </c>
      <c r="K136" t="s">
        <v>530</v>
      </c>
      <c r="Y136" t="str">
        <f t="shared" si="8"/>
        <v>2015-09-01T00:00:00</v>
      </c>
      <c r="Z136" t="str">
        <f t="shared" si="9"/>
        <v>№46</v>
      </c>
      <c r="AA136" t="s">
        <v>224</v>
      </c>
      <c r="AC136" t="s">
        <v>225</v>
      </c>
      <c r="AD136" t="s">
        <v>242</v>
      </c>
      <c r="AE136" t="s">
        <v>193</v>
      </c>
      <c r="AF136" t="s">
        <v>194</v>
      </c>
      <c r="AH136" t="s">
        <v>195</v>
      </c>
      <c r="AI136">
        <v>1</v>
      </c>
      <c r="AJ136" t="s">
        <v>196</v>
      </c>
      <c r="AK136" t="s">
        <v>194</v>
      </c>
      <c r="AL136" t="s">
        <v>197</v>
      </c>
      <c r="AM136" t="s">
        <v>228</v>
      </c>
      <c r="AR136" t="s">
        <v>194</v>
      </c>
      <c r="AS136" t="s">
        <v>199</v>
      </c>
      <c r="AU136" t="s">
        <v>197</v>
      </c>
      <c r="AZ136" t="s">
        <v>194</v>
      </c>
      <c r="BA136" t="s">
        <v>200</v>
      </c>
      <c r="BB136" t="s">
        <v>201</v>
      </c>
      <c r="BD136" t="s">
        <v>200</v>
      </c>
      <c r="BE136" t="s">
        <v>202</v>
      </c>
      <c r="BF136" t="s">
        <v>197</v>
      </c>
      <c r="BG136" t="s">
        <v>230</v>
      </c>
      <c r="BH136" t="s">
        <v>420</v>
      </c>
      <c r="BJ136" t="s">
        <v>205</v>
      </c>
      <c r="BK136" t="s">
        <v>206</v>
      </c>
      <c r="BL136" t="s">
        <v>194</v>
      </c>
      <c r="BO136" t="s">
        <v>216</v>
      </c>
      <c r="BP136" t="s">
        <v>216</v>
      </c>
      <c r="BR136" t="s">
        <v>232</v>
      </c>
      <c r="BT136" t="s">
        <v>197</v>
      </c>
      <c r="BV136" t="s">
        <v>233</v>
      </c>
      <c r="CA136" t="s">
        <v>194</v>
      </c>
      <c r="CB136" t="s">
        <v>214</v>
      </c>
      <c r="CF136" t="s">
        <v>215</v>
      </c>
      <c r="CH136" t="s">
        <v>214</v>
      </c>
      <c r="CI136" t="s">
        <v>214</v>
      </c>
      <c r="CJ136" t="s">
        <v>214</v>
      </c>
      <c r="CP136" t="s">
        <v>214</v>
      </c>
      <c r="CS136" t="s">
        <v>216</v>
      </c>
      <c r="CV136" t="s">
        <v>214</v>
      </c>
      <c r="CW136" t="s">
        <v>214</v>
      </c>
      <c r="CX136" t="s">
        <v>217</v>
      </c>
      <c r="CY136" t="s">
        <v>214</v>
      </c>
      <c r="DA136" t="s">
        <v>218</v>
      </c>
    </row>
    <row r="137" spans="1:105" x14ac:dyDescent="0.3">
      <c r="A137">
        <v>1228670</v>
      </c>
      <c r="B137">
        <v>933408</v>
      </c>
      <c r="C137" t="str">
        <f>"100114554964"</f>
        <v>100114554964</v>
      </c>
      <c r="D137" t="s">
        <v>657</v>
      </c>
      <c r="E137" t="s">
        <v>658</v>
      </c>
      <c r="F137" t="s">
        <v>515</v>
      </c>
      <c r="G137" s="1">
        <v>40192</v>
      </c>
      <c r="I137" t="s">
        <v>187</v>
      </c>
      <c r="J137" t="s">
        <v>188</v>
      </c>
      <c r="K137" t="s">
        <v>345</v>
      </c>
      <c r="Y137" t="str">
        <f t="shared" si="8"/>
        <v>2015-09-01T00:00:00</v>
      </c>
      <c r="Z137" t="str">
        <f t="shared" si="9"/>
        <v>№46</v>
      </c>
      <c r="AA137" t="s">
        <v>224</v>
      </c>
      <c r="AC137" t="s">
        <v>225</v>
      </c>
      <c r="AD137" t="s">
        <v>242</v>
      </c>
      <c r="AE137" t="s">
        <v>193</v>
      </c>
      <c r="AF137" t="s">
        <v>194</v>
      </c>
      <c r="AH137" t="s">
        <v>195</v>
      </c>
      <c r="AI137">
        <v>1</v>
      </c>
      <c r="AJ137" t="s">
        <v>196</v>
      </c>
      <c r="AK137" t="s">
        <v>194</v>
      </c>
      <c r="AL137" t="s">
        <v>197</v>
      </c>
      <c r="AM137" t="s">
        <v>228</v>
      </c>
      <c r="AR137" t="s">
        <v>194</v>
      </c>
      <c r="AS137" t="s">
        <v>199</v>
      </c>
      <c r="AU137" t="s">
        <v>197</v>
      </c>
      <c r="AZ137" t="s">
        <v>194</v>
      </c>
      <c r="BA137" t="s">
        <v>200</v>
      </c>
      <c r="BB137" t="s">
        <v>201</v>
      </c>
      <c r="BD137" t="s">
        <v>200</v>
      </c>
      <c r="BE137" t="s">
        <v>202</v>
      </c>
      <c r="BF137" t="s">
        <v>197</v>
      </c>
      <c r="BG137" t="s">
        <v>230</v>
      </c>
      <c r="BH137" t="s">
        <v>275</v>
      </c>
      <c r="BJ137" t="s">
        <v>205</v>
      </c>
      <c r="BK137" t="s">
        <v>206</v>
      </c>
      <c r="BL137" t="s">
        <v>194</v>
      </c>
      <c r="BO137" t="s">
        <v>216</v>
      </c>
      <c r="BP137" t="s">
        <v>216</v>
      </c>
      <c r="BR137" t="s">
        <v>232</v>
      </c>
      <c r="BT137" t="s">
        <v>197</v>
      </c>
      <c r="BV137" t="s">
        <v>233</v>
      </c>
      <c r="CA137" t="s">
        <v>194</v>
      </c>
      <c r="CB137" t="s">
        <v>214</v>
      </c>
      <c r="CF137" t="s">
        <v>215</v>
      </c>
      <c r="CH137" t="s">
        <v>214</v>
      </c>
      <c r="CI137" t="s">
        <v>214</v>
      </c>
      <c r="CJ137" t="s">
        <v>214</v>
      </c>
      <c r="CP137" t="s">
        <v>214</v>
      </c>
      <c r="CS137" t="s">
        <v>216</v>
      </c>
      <c r="CV137" t="s">
        <v>214</v>
      </c>
      <c r="CW137" t="s">
        <v>214</v>
      </c>
      <c r="CX137" t="s">
        <v>217</v>
      </c>
      <c r="CY137" t="s">
        <v>214</v>
      </c>
      <c r="DA137" t="s">
        <v>218</v>
      </c>
    </row>
    <row r="138" spans="1:105" x14ac:dyDescent="0.3">
      <c r="A138">
        <v>1228685</v>
      </c>
      <c r="B138">
        <v>933420</v>
      </c>
      <c r="C138" t="str">
        <f>"100501651078"</f>
        <v>100501651078</v>
      </c>
      <c r="D138" t="s">
        <v>659</v>
      </c>
      <c r="E138" t="s">
        <v>660</v>
      </c>
      <c r="F138" t="s">
        <v>661</v>
      </c>
      <c r="G138" s="1">
        <v>40299</v>
      </c>
      <c r="I138" t="s">
        <v>222</v>
      </c>
      <c r="J138" t="s">
        <v>188</v>
      </c>
      <c r="K138" t="s">
        <v>189</v>
      </c>
      <c r="Y138" t="str">
        <f>"2017-08-21T00:00:00"</f>
        <v>2017-08-21T00:00:00</v>
      </c>
      <c r="Z138" t="str">
        <f>"№25"</f>
        <v>№25</v>
      </c>
      <c r="AA138" t="s">
        <v>224</v>
      </c>
      <c r="AC138" t="s">
        <v>191</v>
      </c>
      <c r="AD138" t="s">
        <v>261</v>
      </c>
      <c r="AE138" t="s">
        <v>243</v>
      </c>
      <c r="AF138" t="s">
        <v>194</v>
      </c>
      <c r="AH138" t="s">
        <v>195</v>
      </c>
      <c r="AI138">
        <v>2</v>
      </c>
      <c r="AJ138" t="s">
        <v>196</v>
      </c>
      <c r="AK138" t="s">
        <v>194</v>
      </c>
      <c r="AL138" t="s">
        <v>197</v>
      </c>
      <c r="AM138" t="s">
        <v>198</v>
      </c>
      <c r="AR138" t="s">
        <v>194</v>
      </c>
      <c r="AS138" t="s">
        <v>199</v>
      </c>
      <c r="AU138" t="s">
        <v>197</v>
      </c>
      <c r="AZ138" t="s">
        <v>194</v>
      </c>
      <c r="BA138" t="s">
        <v>200</v>
      </c>
      <c r="BB138" t="s">
        <v>201</v>
      </c>
      <c r="BD138" t="s">
        <v>200</v>
      </c>
      <c r="BE138" t="s">
        <v>244</v>
      </c>
      <c r="BF138" t="s">
        <v>197</v>
      </c>
      <c r="BG138" t="s">
        <v>269</v>
      </c>
      <c r="BH138" t="s">
        <v>432</v>
      </c>
      <c r="BJ138" t="s">
        <v>205</v>
      </c>
      <c r="BK138" t="s">
        <v>206</v>
      </c>
      <c r="BL138" t="s">
        <v>194</v>
      </c>
      <c r="BO138" t="s">
        <v>216</v>
      </c>
      <c r="BP138" t="s">
        <v>216</v>
      </c>
      <c r="BQ138" t="s">
        <v>271</v>
      </c>
      <c r="BR138" t="s">
        <v>232</v>
      </c>
      <c r="BT138" t="s">
        <v>197</v>
      </c>
      <c r="BV138" t="s">
        <v>233</v>
      </c>
      <c r="CA138" t="s">
        <v>194</v>
      </c>
      <c r="CB138" t="s">
        <v>194</v>
      </c>
      <c r="CC138" t="s">
        <v>264</v>
      </c>
      <c r="CD138" t="s">
        <v>265</v>
      </c>
      <c r="CE138" t="s">
        <v>266</v>
      </c>
      <c r="CF138" t="s">
        <v>215</v>
      </c>
      <c r="CH138" t="s">
        <v>214</v>
      </c>
      <c r="CI138" t="s">
        <v>214</v>
      </c>
      <c r="CJ138" t="s">
        <v>214</v>
      </c>
      <c r="CP138" t="s">
        <v>214</v>
      </c>
      <c r="CS138" t="s">
        <v>216</v>
      </c>
      <c r="CV138" t="s">
        <v>214</v>
      </c>
      <c r="CW138" t="s">
        <v>214</v>
      </c>
      <c r="CX138" t="s">
        <v>217</v>
      </c>
      <c r="CY138" t="s">
        <v>214</v>
      </c>
      <c r="DA138" t="s">
        <v>218</v>
      </c>
    </row>
    <row r="139" spans="1:105" x14ac:dyDescent="0.3">
      <c r="A139">
        <v>1228620</v>
      </c>
      <c r="B139">
        <v>933385</v>
      </c>
      <c r="C139" t="str">
        <f>"100326550895"</f>
        <v>100326550895</v>
      </c>
      <c r="D139" t="s">
        <v>662</v>
      </c>
      <c r="E139" t="s">
        <v>663</v>
      </c>
      <c r="F139" t="s">
        <v>289</v>
      </c>
      <c r="G139" s="1">
        <v>40263</v>
      </c>
      <c r="I139" t="s">
        <v>187</v>
      </c>
      <c r="J139" t="s">
        <v>188</v>
      </c>
      <c r="K139" t="s">
        <v>223</v>
      </c>
      <c r="Y139" t="str">
        <f>"2015-09-01T00:00:00"</f>
        <v>2015-09-01T00:00:00</v>
      </c>
      <c r="Z139" t="str">
        <f>"№46"</f>
        <v>№46</v>
      </c>
      <c r="AA139" t="s">
        <v>224</v>
      </c>
      <c r="AC139" t="s">
        <v>225</v>
      </c>
      <c r="AD139" t="s">
        <v>242</v>
      </c>
      <c r="AE139" t="s">
        <v>193</v>
      </c>
      <c r="AF139" t="s">
        <v>194</v>
      </c>
      <c r="AH139" t="s">
        <v>195</v>
      </c>
      <c r="AI139">
        <v>1</v>
      </c>
      <c r="AJ139" t="s">
        <v>196</v>
      </c>
      <c r="AK139" t="s">
        <v>194</v>
      </c>
      <c r="AL139" t="s">
        <v>197</v>
      </c>
      <c r="AM139" t="s">
        <v>228</v>
      </c>
      <c r="AR139" t="s">
        <v>194</v>
      </c>
      <c r="AS139" t="s">
        <v>199</v>
      </c>
      <c r="AU139" t="s">
        <v>197</v>
      </c>
      <c r="AZ139" t="s">
        <v>194</v>
      </c>
      <c r="BA139" t="s">
        <v>200</v>
      </c>
      <c r="BB139" t="s">
        <v>201</v>
      </c>
      <c r="BD139" t="s">
        <v>200</v>
      </c>
      <c r="BE139" t="s">
        <v>202</v>
      </c>
      <c r="BF139" t="s">
        <v>197</v>
      </c>
      <c r="BG139" t="s">
        <v>230</v>
      </c>
      <c r="BH139" t="s">
        <v>420</v>
      </c>
      <c r="BJ139" t="s">
        <v>205</v>
      </c>
      <c r="BK139" t="s">
        <v>206</v>
      </c>
      <c r="BL139" t="s">
        <v>194</v>
      </c>
      <c r="BO139" t="s">
        <v>200</v>
      </c>
      <c r="BP139" t="s">
        <v>200</v>
      </c>
      <c r="BR139" t="s">
        <v>246</v>
      </c>
      <c r="BS139" t="s">
        <v>208</v>
      </c>
      <c r="BT139" t="s">
        <v>197</v>
      </c>
      <c r="BV139" t="s">
        <v>233</v>
      </c>
      <c r="CA139" t="s">
        <v>194</v>
      </c>
      <c r="CB139" t="s">
        <v>214</v>
      </c>
      <c r="CF139" t="s">
        <v>215</v>
      </c>
      <c r="CH139" t="s">
        <v>214</v>
      </c>
      <c r="CI139" t="s">
        <v>214</v>
      </c>
      <c r="CJ139" t="s">
        <v>214</v>
      </c>
      <c r="CP139" t="s">
        <v>214</v>
      </c>
      <c r="CS139" t="s">
        <v>216</v>
      </c>
      <c r="CV139" t="s">
        <v>214</v>
      </c>
      <c r="CW139" t="s">
        <v>214</v>
      </c>
      <c r="CX139" t="s">
        <v>217</v>
      </c>
      <c r="CY139" t="s">
        <v>214</v>
      </c>
      <c r="DA139" t="s">
        <v>218</v>
      </c>
    </row>
    <row r="140" spans="1:105" x14ac:dyDescent="0.3">
      <c r="A140">
        <v>1228932</v>
      </c>
      <c r="B140">
        <v>898235</v>
      </c>
      <c r="C140" t="str">
        <f>"100210652440"</f>
        <v>100210652440</v>
      </c>
      <c r="D140" t="s">
        <v>664</v>
      </c>
      <c r="E140" t="s">
        <v>293</v>
      </c>
      <c r="F140" t="s">
        <v>665</v>
      </c>
      <c r="G140" s="1">
        <v>40219</v>
      </c>
      <c r="I140" t="s">
        <v>222</v>
      </c>
      <c r="J140" t="s">
        <v>188</v>
      </c>
      <c r="K140" t="s">
        <v>189</v>
      </c>
      <c r="Y140" t="str">
        <f>"2016-08-29T00:00:00"</f>
        <v>2016-08-29T00:00:00</v>
      </c>
      <c r="Z140" t="str">
        <f>"№39"</f>
        <v>№39</v>
      </c>
      <c r="AA140" t="s">
        <v>190</v>
      </c>
      <c r="AC140" t="s">
        <v>237</v>
      </c>
      <c r="AD140" t="s">
        <v>242</v>
      </c>
      <c r="AE140" t="s">
        <v>243</v>
      </c>
      <c r="AF140" t="s">
        <v>194</v>
      </c>
      <c r="AH140" t="s">
        <v>195</v>
      </c>
      <c r="AI140">
        <v>1</v>
      </c>
      <c r="AJ140" t="s">
        <v>196</v>
      </c>
      <c r="AK140" t="s">
        <v>194</v>
      </c>
      <c r="AL140" t="s">
        <v>197</v>
      </c>
      <c r="AM140" t="s">
        <v>228</v>
      </c>
      <c r="AR140" t="s">
        <v>194</v>
      </c>
      <c r="AS140" t="s">
        <v>199</v>
      </c>
      <c r="AU140" t="s">
        <v>197</v>
      </c>
      <c r="AZ140" t="s">
        <v>194</v>
      </c>
      <c r="BA140" t="s">
        <v>200</v>
      </c>
      <c r="BB140" t="s">
        <v>201</v>
      </c>
      <c r="BD140" t="s">
        <v>200</v>
      </c>
      <c r="BE140" t="s">
        <v>229</v>
      </c>
      <c r="BF140" t="s">
        <v>197</v>
      </c>
      <c r="BG140" t="s">
        <v>230</v>
      </c>
      <c r="BH140" t="s">
        <v>231</v>
      </c>
      <c r="BJ140" t="s">
        <v>205</v>
      </c>
      <c r="BK140" t="s">
        <v>206</v>
      </c>
      <c r="BL140" t="s">
        <v>194</v>
      </c>
      <c r="BO140" t="s">
        <v>216</v>
      </c>
      <c r="BP140" t="s">
        <v>216</v>
      </c>
      <c r="BR140" t="s">
        <v>232</v>
      </c>
      <c r="BT140" t="s">
        <v>197</v>
      </c>
      <c r="BV140" t="s">
        <v>233</v>
      </c>
      <c r="CA140" t="s">
        <v>194</v>
      </c>
      <c r="CB140" t="s">
        <v>214</v>
      </c>
      <c r="CF140" t="s">
        <v>215</v>
      </c>
      <c r="CH140" t="s">
        <v>214</v>
      </c>
      <c r="CI140" t="s">
        <v>214</v>
      </c>
      <c r="CJ140" t="s">
        <v>214</v>
      </c>
      <c r="CP140" t="s">
        <v>214</v>
      </c>
      <c r="CS140" t="s">
        <v>216</v>
      </c>
      <c r="CV140" t="s">
        <v>214</v>
      </c>
      <c r="CW140" t="s">
        <v>214</v>
      </c>
      <c r="CX140" t="s">
        <v>217</v>
      </c>
      <c r="CY140" t="s">
        <v>214</v>
      </c>
      <c r="DA140" t="s">
        <v>218</v>
      </c>
    </row>
    <row r="141" spans="1:105" x14ac:dyDescent="0.3">
      <c r="A141">
        <v>1228613</v>
      </c>
      <c r="B141">
        <v>933380</v>
      </c>
      <c r="C141" t="str">
        <f>"100717652734"</f>
        <v>100717652734</v>
      </c>
      <c r="D141" t="s">
        <v>666</v>
      </c>
      <c r="E141" t="s">
        <v>667</v>
      </c>
      <c r="F141" t="s">
        <v>365</v>
      </c>
      <c r="G141" s="1">
        <v>40376</v>
      </c>
      <c r="I141" t="s">
        <v>222</v>
      </c>
      <c r="J141" t="s">
        <v>188</v>
      </c>
      <c r="K141" t="s">
        <v>223</v>
      </c>
      <c r="Y141" t="str">
        <f>"2015-09-01T00:00:00"</f>
        <v>2015-09-01T00:00:00</v>
      </c>
      <c r="Z141" t="str">
        <f>"№46"</f>
        <v>№46</v>
      </c>
      <c r="AA141" t="s">
        <v>190</v>
      </c>
      <c r="AC141" t="s">
        <v>225</v>
      </c>
      <c r="AD141" t="s">
        <v>242</v>
      </c>
      <c r="AE141" t="s">
        <v>243</v>
      </c>
      <c r="AF141" t="s">
        <v>194</v>
      </c>
      <c r="AH141" t="s">
        <v>195</v>
      </c>
      <c r="AI141">
        <v>1</v>
      </c>
      <c r="AJ141" t="s">
        <v>196</v>
      </c>
      <c r="AK141" t="s">
        <v>194</v>
      </c>
      <c r="AL141" t="s">
        <v>197</v>
      </c>
      <c r="AM141" t="s">
        <v>228</v>
      </c>
      <c r="AR141" t="s">
        <v>194</v>
      </c>
      <c r="AS141" t="s">
        <v>199</v>
      </c>
      <c r="AU141" t="s">
        <v>197</v>
      </c>
      <c r="AZ141" t="s">
        <v>194</v>
      </c>
      <c r="BA141" t="s">
        <v>200</v>
      </c>
      <c r="BB141" t="s">
        <v>201</v>
      </c>
      <c r="BD141" t="s">
        <v>200</v>
      </c>
      <c r="BE141" t="s">
        <v>229</v>
      </c>
      <c r="BF141" t="s">
        <v>197</v>
      </c>
      <c r="BG141" t="s">
        <v>230</v>
      </c>
      <c r="BH141" t="s">
        <v>231</v>
      </c>
      <c r="BJ141" t="s">
        <v>205</v>
      </c>
      <c r="BK141" t="s">
        <v>206</v>
      </c>
      <c r="BL141" t="s">
        <v>194</v>
      </c>
      <c r="BO141" t="s">
        <v>216</v>
      </c>
      <c r="BP141" t="s">
        <v>216</v>
      </c>
      <c r="BR141" t="s">
        <v>232</v>
      </c>
      <c r="BT141" t="s">
        <v>197</v>
      </c>
      <c r="BV141" t="s">
        <v>233</v>
      </c>
      <c r="CA141" t="s">
        <v>194</v>
      </c>
      <c r="CB141" t="s">
        <v>214</v>
      </c>
      <c r="CF141" t="s">
        <v>215</v>
      </c>
      <c r="CH141" t="s">
        <v>214</v>
      </c>
      <c r="CI141" t="s">
        <v>214</v>
      </c>
      <c r="CJ141" t="s">
        <v>214</v>
      </c>
      <c r="CP141" t="s">
        <v>214</v>
      </c>
      <c r="CS141" t="s">
        <v>216</v>
      </c>
      <c r="CV141" t="s">
        <v>214</v>
      </c>
      <c r="CW141" t="s">
        <v>214</v>
      </c>
      <c r="CX141" t="s">
        <v>217</v>
      </c>
      <c r="CY141" t="s">
        <v>214</v>
      </c>
      <c r="DA141" t="s">
        <v>218</v>
      </c>
    </row>
    <row r="142" spans="1:105" x14ac:dyDescent="0.3">
      <c r="A142">
        <v>1229036</v>
      </c>
      <c r="B142">
        <v>617065</v>
      </c>
      <c r="C142" t="str">
        <f>"110527604288"</f>
        <v>110527604288</v>
      </c>
      <c r="D142" t="s">
        <v>668</v>
      </c>
      <c r="E142" t="s">
        <v>669</v>
      </c>
      <c r="F142" t="s">
        <v>670</v>
      </c>
      <c r="G142" s="1">
        <v>40690</v>
      </c>
      <c r="I142" t="s">
        <v>222</v>
      </c>
      <c r="J142" t="s">
        <v>188</v>
      </c>
      <c r="K142" t="s">
        <v>530</v>
      </c>
      <c r="Y142" t="str">
        <f>"2017-08-15T00:00:00"</f>
        <v>2017-08-15T00:00:00</v>
      </c>
      <c r="Z142" t="str">
        <f>"№06"</f>
        <v>№06</v>
      </c>
      <c r="AA142" t="s">
        <v>224</v>
      </c>
      <c r="AC142" t="s">
        <v>225</v>
      </c>
      <c r="AD142" t="s">
        <v>261</v>
      </c>
      <c r="AE142" t="s">
        <v>193</v>
      </c>
      <c r="AF142" t="s">
        <v>194</v>
      </c>
      <c r="AH142" t="s">
        <v>195</v>
      </c>
      <c r="AI142">
        <v>2</v>
      </c>
      <c r="AJ142" t="s">
        <v>196</v>
      </c>
      <c r="AK142" t="s">
        <v>194</v>
      </c>
      <c r="AL142" t="s">
        <v>197</v>
      </c>
      <c r="AM142" t="s">
        <v>198</v>
      </c>
      <c r="AR142" t="s">
        <v>194</v>
      </c>
      <c r="AS142" t="s">
        <v>199</v>
      </c>
      <c r="AU142" t="s">
        <v>197</v>
      </c>
      <c r="AZ142" t="s">
        <v>194</v>
      </c>
      <c r="BA142" t="s">
        <v>200</v>
      </c>
      <c r="BB142" t="s">
        <v>201</v>
      </c>
      <c r="BD142" t="s">
        <v>200</v>
      </c>
      <c r="BE142" t="s">
        <v>202</v>
      </c>
      <c r="BF142" t="s">
        <v>197</v>
      </c>
      <c r="BG142" t="s">
        <v>269</v>
      </c>
      <c r="BH142" t="s">
        <v>270</v>
      </c>
      <c r="BJ142" t="s">
        <v>205</v>
      </c>
      <c r="BK142" t="s">
        <v>206</v>
      </c>
      <c r="BL142" t="s">
        <v>194</v>
      </c>
      <c r="BO142" t="s">
        <v>216</v>
      </c>
      <c r="BP142" t="s">
        <v>216</v>
      </c>
      <c r="BQ142" t="s">
        <v>280</v>
      </c>
      <c r="BR142" t="s">
        <v>232</v>
      </c>
      <c r="BT142" t="s">
        <v>197</v>
      </c>
      <c r="BV142" t="s">
        <v>233</v>
      </c>
      <c r="CA142" t="s">
        <v>194</v>
      </c>
      <c r="CB142" t="s">
        <v>214</v>
      </c>
      <c r="CF142" t="s">
        <v>215</v>
      </c>
      <c r="CH142" t="s">
        <v>214</v>
      </c>
      <c r="CI142" t="s">
        <v>214</v>
      </c>
      <c r="CJ142" t="s">
        <v>214</v>
      </c>
      <c r="CP142" t="s">
        <v>214</v>
      </c>
      <c r="CS142" t="s">
        <v>216</v>
      </c>
      <c r="CV142" t="s">
        <v>214</v>
      </c>
      <c r="CW142" t="s">
        <v>214</v>
      </c>
      <c r="CX142" t="s">
        <v>217</v>
      </c>
      <c r="CY142" t="s">
        <v>214</v>
      </c>
      <c r="DA142" t="s">
        <v>218</v>
      </c>
    </row>
    <row r="143" spans="1:105" x14ac:dyDescent="0.3">
      <c r="A143">
        <v>1228574</v>
      </c>
      <c r="B143">
        <v>933357</v>
      </c>
      <c r="C143" t="str">
        <f>"100510553493"</f>
        <v>100510553493</v>
      </c>
      <c r="D143" t="s">
        <v>671</v>
      </c>
      <c r="E143" t="s">
        <v>663</v>
      </c>
      <c r="F143" t="s">
        <v>316</v>
      </c>
      <c r="G143" s="1">
        <v>40308</v>
      </c>
      <c r="I143" t="s">
        <v>187</v>
      </c>
      <c r="J143" t="s">
        <v>188</v>
      </c>
      <c r="K143" t="s">
        <v>223</v>
      </c>
      <c r="Y143" t="str">
        <f>"2017-09-02T00:00:00"</f>
        <v>2017-09-02T00:00:00</v>
      </c>
      <c r="Z143" t="str">
        <f>"№45"</f>
        <v>№45</v>
      </c>
      <c r="AA143" t="s">
        <v>224</v>
      </c>
      <c r="AC143" t="s">
        <v>225</v>
      </c>
      <c r="AD143" t="s">
        <v>261</v>
      </c>
      <c r="AE143" t="s">
        <v>227</v>
      </c>
      <c r="AF143" t="s">
        <v>194</v>
      </c>
      <c r="AH143" t="s">
        <v>195</v>
      </c>
      <c r="AI143">
        <v>2</v>
      </c>
      <c r="AJ143" t="s">
        <v>196</v>
      </c>
      <c r="AK143" t="s">
        <v>194</v>
      </c>
      <c r="AL143" t="s">
        <v>197</v>
      </c>
      <c r="AM143" t="s">
        <v>228</v>
      </c>
      <c r="AR143" t="s">
        <v>194</v>
      </c>
      <c r="AS143" t="s">
        <v>199</v>
      </c>
      <c r="AU143" t="s">
        <v>197</v>
      </c>
      <c r="AZ143" t="s">
        <v>194</v>
      </c>
      <c r="BA143" t="s">
        <v>200</v>
      </c>
      <c r="BB143" t="s">
        <v>672</v>
      </c>
      <c r="BD143" t="s">
        <v>200</v>
      </c>
      <c r="BE143" t="s">
        <v>229</v>
      </c>
      <c r="BF143" t="s">
        <v>197</v>
      </c>
      <c r="BG143" t="s">
        <v>269</v>
      </c>
      <c r="BH143" t="s">
        <v>432</v>
      </c>
      <c r="BJ143" t="s">
        <v>205</v>
      </c>
      <c r="BK143" t="s">
        <v>206</v>
      </c>
      <c r="BL143" t="s">
        <v>214</v>
      </c>
      <c r="BO143" t="s">
        <v>200</v>
      </c>
      <c r="BP143" t="s">
        <v>200</v>
      </c>
      <c r="BR143" t="s">
        <v>246</v>
      </c>
      <c r="BS143" t="s">
        <v>208</v>
      </c>
      <c r="BT143" t="s">
        <v>197</v>
      </c>
      <c r="BV143" t="s">
        <v>233</v>
      </c>
      <c r="CA143" t="s">
        <v>194</v>
      </c>
      <c r="CB143" t="s">
        <v>194</v>
      </c>
      <c r="CC143" t="s">
        <v>264</v>
      </c>
      <c r="CD143" t="s">
        <v>265</v>
      </c>
      <c r="CE143" t="s">
        <v>266</v>
      </c>
      <c r="CF143" t="s">
        <v>215</v>
      </c>
      <c r="CH143" t="s">
        <v>214</v>
      </c>
      <c r="CI143" t="s">
        <v>214</v>
      </c>
      <c r="CJ143" t="s">
        <v>214</v>
      </c>
      <c r="CP143" t="s">
        <v>214</v>
      </c>
      <c r="CS143" t="s">
        <v>216</v>
      </c>
      <c r="CV143" t="s">
        <v>214</v>
      </c>
      <c r="CW143" t="s">
        <v>214</v>
      </c>
      <c r="CX143" t="s">
        <v>217</v>
      </c>
      <c r="CY143" t="s">
        <v>214</v>
      </c>
      <c r="DA143" t="s">
        <v>218</v>
      </c>
    </row>
    <row r="144" spans="1:105" x14ac:dyDescent="0.3">
      <c r="A144">
        <v>1229076</v>
      </c>
      <c r="B144">
        <v>933641</v>
      </c>
      <c r="C144" t="str">
        <f>"110226500123"</f>
        <v>110226500123</v>
      </c>
      <c r="D144" t="s">
        <v>673</v>
      </c>
      <c r="E144" t="s">
        <v>674</v>
      </c>
      <c r="F144" t="s">
        <v>675</v>
      </c>
      <c r="G144" s="1">
        <v>40600</v>
      </c>
      <c r="I144" t="s">
        <v>187</v>
      </c>
      <c r="J144" t="s">
        <v>188</v>
      </c>
      <c r="K144" t="s">
        <v>189</v>
      </c>
      <c r="Y144" t="str">
        <f>"2017-08-21T00:00:00"</f>
        <v>2017-08-21T00:00:00</v>
      </c>
      <c r="Z144" t="str">
        <f>"№25"</f>
        <v>№25</v>
      </c>
      <c r="AA144" t="s">
        <v>224</v>
      </c>
      <c r="AC144" t="s">
        <v>191</v>
      </c>
      <c r="AD144" t="s">
        <v>261</v>
      </c>
      <c r="AE144" t="s">
        <v>243</v>
      </c>
      <c r="AF144" t="s">
        <v>194</v>
      </c>
      <c r="AH144" t="s">
        <v>195</v>
      </c>
      <c r="AI144">
        <v>2</v>
      </c>
      <c r="AJ144" t="s">
        <v>196</v>
      </c>
      <c r="AK144" t="s">
        <v>194</v>
      </c>
      <c r="AL144" t="s">
        <v>197</v>
      </c>
      <c r="AM144" t="s">
        <v>228</v>
      </c>
      <c r="AR144" t="s">
        <v>194</v>
      </c>
      <c r="AS144" t="s">
        <v>199</v>
      </c>
      <c r="AU144" t="s">
        <v>197</v>
      </c>
      <c r="AZ144" t="s">
        <v>194</v>
      </c>
      <c r="BA144" t="s">
        <v>200</v>
      </c>
      <c r="BB144" t="s">
        <v>201</v>
      </c>
      <c r="BD144" t="s">
        <v>200</v>
      </c>
      <c r="BE144" t="s">
        <v>229</v>
      </c>
      <c r="BF144" t="s">
        <v>197</v>
      </c>
      <c r="BG144" t="s">
        <v>269</v>
      </c>
      <c r="BH144" t="s">
        <v>591</v>
      </c>
      <c r="BJ144" t="s">
        <v>205</v>
      </c>
      <c r="BK144" t="s">
        <v>206</v>
      </c>
      <c r="BL144" t="s">
        <v>214</v>
      </c>
      <c r="BO144" t="s">
        <v>200</v>
      </c>
      <c r="BP144" t="s">
        <v>200</v>
      </c>
      <c r="BR144" t="s">
        <v>246</v>
      </c>
      <c r="BS144" t="s">
        <v>208</v>
      </c>
      <c r="BT144" t="s">
        <v>197</v>
      </c>
      <c r="BV144" t="s">
        <v>233</v>
      </c>
      <c r="CA144" t="s">
        <v>194</v>
      </c>
      <c r="CB144" t="s">
        <v>214</v>
      </c>
      <c r="CF144" t="s">
        <v>215</v>
      </c>
      <c r="CH144" t="s">
        <v>214</v>
      </c>
      <c r="CI144" t="s">
        <v>214</v>
      </c>
      <c r="CJ144" t="s">
        <v>214</v>
      </c>
      <c r="CP144" t="s">
        <v>214</v>
      </c>
      <c r="CS144" t="s">
        <v>216</v>
      </c>
      <c r="CV144" t="s">
        <v>214</v>
      </c>
      <c r="CW144" t="s">
        <v>214</v>
      </c>
      <c r="CX144" t="s">
        <v>217</v>
      </c>
      <c r="CY144" t="s">
        <v>214</v>
      </c>
      <c r="DA144" t="s">
        <v>218</v>
      </c>
    </row>
    <row r="145" spans="1:105" x14ac:dyDescent="0.3">
      <c r="A145">
        <v>1228566</v>
      </c>
      <c r="B145">
        <v>616652</v>
      </c>
      <c r="C145" t="str">
        <f>"120512504073"</f>
        <v>120512504073</v>
      </c>
      <c r="D145" t="s">
        <v>676</v>
      </c>
      <c r="E145" t="s">
        <v>609</v>
      </c>
      <c r="F145" t="s">
        <v>289</v>
      </c>
      <c r="G145" s="1">
        <v>41041</v>
      </c>
      <c r="I145" t="s">
        <v>187</v>
      </c>
      <c r="J145" t="s">
        <v>188</v>
      </c>
      <c r="K145" t="s">
        <v>260</v>
      </c>
      <c r="Y145" t="str">
        <f>"2018-08-15T00:00:00"</f>
        <v>2018-08-15T00:00:00</v>
      </c>
      <c r="Z145" t="str">
        <f>"№20"</f>
        <v>№20</v>
      </c>
      <c r="AA145" t="s">
        <v>224</v>
      </c>
      <c r="AC145" t="s">
        <v>191</v>
      </c>
      <c r="AD145" t="s">
        <v>285</v>
      </c>
      <c r="AE145" t="s">
        <v>193</v>
      </c>
      <c r="AF145" t="s">
        <v>194</v>
      </c>
      <c r="AH145" t="s">
        <v>195</v>
      </c>
      <c r="AI145">
        <v>2</v>
      </c>
      <c r="AJ145" t="s">
        <v>196</v>
      </c>
      <c r="AK145" t="s">
        <v>194</v>
      </c>
      <c r="AL145" t="s">
        <v>197</v>
      </c>
      <c r="AM145" t="s">
        <v>198</v>
      </c>
      <c r="AR145" t="s">
        <v>194</v>
      </c>
      <c r="AS145" t="s">
        <v>199</v>
      </c>
      <c r="AU145" t="s">
        <v>197</v>
      </c>
      <c r="AZ145" t="s">
        <v>194</v>
      </c>
      <c r="BA145" t="s">
        <v>200</v>
      </c>
      <c r="BB145" t="s">
        <v>201</v>
      </c>
      <c r="BD145" t="s">
        <v>200</v>
      </c>
      <c r="BE145" t="s">
        <v>229</v>
      </c>
      <c r="BF145" t="s">
        <v>197</v>
      </c>
      <c r="BG145" t="s">
        <v>677</v>
      </c>
      <c r="BH145" t="s">
        <v>270</v>
      </c>
      <c r="BJ145" t="s">
        <v>205</v>
      </c>
      <c r="BK145" t="s">
        <v>206</v>
      </c>
      <c r="BL145" t="s">
        <v>194</v>
      </c>
      <c r="BO145" t="s">
        <v>216</v>
      </c>
      <c r="BP145" t="s">
        <v>216</v>
      </c>
      <c r="BQ145" t="s">
        <v>286</v>
      </c>
      <c r="BR145" t="s">
        <v>232</v>
      </c>
      <c r="BT145" t="s">
        <v>197</v>
      </c>
      <c r="BV145" t="s">
        <v>233</v>
      </c>
      <c r="CA145" t="s">
        <v>194</v>
      </c>
      <c r="CB145" t="s">
        <v>214</v>
      </c>
      <c r="CF145" t="s">
        <v>215</v>
      </c>
      <c r="CH145" t="s">
        <v>214</v>
      </c>
      <c r="CI145" t="s">
        <v>214</v>
      </c>
      <c r="CJ145" t="s">
        <v>214</v>
      </c>
      <c r="CP145" t="s">
        <v>214</v>
      </c>
      <c r="CS145" t="s">
        <v>216</v>
      </c>
      <c r="CV145" t="s">
        <v>214</v>
      </c>
      <c r="CW145" t="s">
        <v>214</v>
      </c>
      <c r="CX145" t="s">
        <v>217</v>
      </c>
      <c r="CY145" t="s">
        <v>214</v>
      </c>
      <c r="DA145" t="s">
        <v>218</v>
      </c>
    </row>
    <row r="146" spans="1:105" x14ac:dyDescent="0.3">
      <c r="A146">
        <v>1228547</v>
      </c>
      <c r="B146">
        <v>616618</v>
      </c>
      <c r="C146" t="str">
        <f>"120824504466"</f>
        <v>120824504466</v>
      </c>
      <c r="D146" t="s">
        <v>678</v>
      </c>
      <c r="E146" t="s">
        <v>588</v>
      </c>
      <c r="G146" s="1">
        <v>41145</v>
      </c>
      <c r="I146" t="s">
        <v>187</v>
      </c>
      <c r="J146" t="s">
        <v>188</v>
      </c>
      <c r="K146" t="s">
        <v>189</v>
      </c>
      <c r="Y146" t="str">
        <f>"2018-09-01T00:00:00"</f>
        <v>2018-09-01T00:00:00</v>
      </c>
      <c r="Z146" t="str">
        <f>"№26"</f>
        <v>№26</v>
      </c>
      <c r="AA146" t="s">
        <v>224</v>
      </c>
      <c r="AC146" t="s">
        <v>191</v>
      </c>
      <c r="AD146" t="s">
        <v>615</v>
      </c>
      <c r="AE146" t="s">
        <v>193</v>
      </c>
      <c r="AF146" t="s">
        <v>194</v>
      </c>
      <c r="AH146" t="s">
        <v>195</v>
      </c>
      <c r="AI146">
        <v>1</v>
      </c>
      <c r="AJ146" t="s">
        <v>196</v>
      </c>
      <c r="AK146" t="s">
        <v>194</v>
      </c>
      <c r="AL146" t="s">
        <v>197</v>
      </c>
      <c r="AM146" t="s">
        <v>198</v>
      </c>
      <c r="AR146" t="s">
        <v>194</v>
      </c>
      <c r="AS146" t="s">
        <v>199</v>
      </c>
      <c r="AU146" t="s">
        <v>197</v>
      </c>
      <c r="AZ146" t="s">
        <v>194</v>
      </c>
      <c r="BA146" t="s">
        <v>200</v>
      </c>
      <c r="BB146" t="s">
        <v>201</v>
      </c>
      <c r="BD146" t="s">
        <v>200</v>
      </c>
      <c r="BE146" t="s">
        <v>202</v>
      </c>
      <c r="BF146" t="s">
        <v>197</v>
      </c>
      <c r="BG146" t="s">
        <v>230</v>
      </c>
      <c r="BH146" t="s">
        <v>420</v>
      </c>
      <c r="BJ146" t="s">
        <v>205</v>
      </c>
      <c r="BK146" t="s">
        <v>206</v>
      </c>
      <c r="BL146" t="s">
        <v>194</v>
      </c>
      <c r="BO146" t="s">
        <v>200</v>
      </c>
      <c r="BP146" t="s">
        <v>200</v>
      </c>
      <c r="BQ146" s="2">
        <v>44805</v>
      </c>
      <c r="BR146" t="s">
        <v>232</v>
      </c>
      <c r="BT146" t="s">
        <v>197</v>
      </c>
      <c r="BV146" t="s">
        <v>233</v>
      </c>
      <c r="CA146" t="s">
        <v>194</v>
      </c>
      <c r="CB146" t="s">
        <v>194</v>
      </c>
      <c r="CC146" t="s">
        <v>264</v>
      </c>
      <c r="CD146" t="s">
        <v>265</v>
      </c>
      <c r="CE146" t="s">
        <v>266</v>
      </c>
      <c r="CF146" t="s">
        <v>215</v>
      </c>
      <c r="CH146" t="s">
        <v>214</v>
      </c>
      <c r="CI146" t="s">
        <v>214</v>
      </c>
      <c r="CJ146" t="s">
        <v>214</v>
      </c>
      <c r="CP146" t="s">
        <v>214</v>
      </c>
      <c r="CS146" t="s">
        <v>216</v>
      </c>
      <c r="CV146" t="s">
        <v>214</v>
      </c>
      <c r="CW146" t="s">
        <v>214</v>
      </c>
      <c r="CX146" t="s">
        <v>217</v>
      </c>
      <c r="CY146" t="s">
        <v>214</v>
      </c>
      <c r="DA146" t="s">
        <v>218</v>
      </c>
    </row>
    <row r="147" spans="1:105" x14ac:dyDescent="0.3">
      <c r="A147">
        <v>1229182</v>
      </c>
      <c r="B147">
        <v>933701</v>
      </c>
      <c r="C147" t="str">
        <f>"111020602634"</f>
        <v>111020602634</v>
      </c>
      <c r="D147" t="s">
        <v>679</v>
      </c>
      <c r="E147" t="s">
        <v>680</v>
      </c>
      <c r="F147" t="s">
        <v>681</v>
      </c>
      <c r="G147" s="1">
        <v>40836</v>
      </c>
      <c r="I147" t="s">
        <v>222</v>
      </c>
      <c r="J147" t="s">
        <v>188</v>
      </c>
      <c r="K147" t="s">
        <v>189</v>
      </c>
      <c r="Y147" t="str">
        <f>"2018-08-15T00:00:00"</f>
        <v>2018-08-15T00:00:00</v>
      </c>
      <c r="Z147" t="str">
        <f>"№20"</f>
        <v>№20</v>
      </c>
      <c r="AA147" t="s">
        <v>224</v>
      </c>
      <c r="AC147" t="s">
        <v>191</v>
      </c>
      <c r="AD147" t="s">
        <v>285</v>
      </c>
      <c r="AE147" t="s">
        <v>193</v>
      </c>
      <c r="AF147" t="s">
        <v>194</v>
      </c>
      <c r="AH147" t="s">
        <v>195</v>
      </c>
      <c r="AI147">
        <v>2</v>
      </c>
      <c r="AJ147" t="s">
        <v>196</v>
      </c>
      <c r="AK147" t="s">
        <v>194</v>
      </c>
      <c r="AL147" t="s">
        <v>197</v>
      </c>
      <c r="AM147" t="s">
        <v>198</v>
      </c>
      <c r="AR147" t="s">
        <v>194</v>
      </c>
      <c r="AS147" t="s">
        <v>199</v>
      </c>
      <c r="AU147" t="s">
        <v>197</v>
      </c>
      <c r="AZ147" t="s">
        <v>194</v>
      </c>
      <c r="BA147" t="s">
        <v>200</v>
      </c>
      <c r="BB147" t="s">
        <v>201</v>
      </c>
      <c r="BD147" t="s">
        <v>200</v>
      </c>
      <c r="BE147" t="s">
        <v>244</v>
      </c>
      <c r="BF147" t="s">
        <v>197</v>
      </c>
      <c r="BG147" t="s">
        <v>269</v>
      </c>
      <c r="BH147" t="s">
        <v>432</v>
      </c>
      <c r="BJ147" t="s">
        <v>205</v>
      </c>
      <c r="BK147" t="s">
        <v>206</v>
      </c>
      <c r="BL147" t="s">
        <v>194</v>
      </c>
      <c r="BO147" t="s">
        <v>216</v>
      </c>
      <c r="BP147" t="s">
        <v>216</v>
      </c>
      <c r="BQ147" t="s">
        <v>286</v>
      </c>
      <c r="BR147" t="s">
        <v>232</v>
      </c>
      <c r="BT147" t="s">
        <v>197</v>
      </c>
      <c r="BV147" t="s">
        <v>233</v>
      </c>
      <c r="CA147" t="s">
        <v>194</v>
      </c>
      <c r="CB147" t="s">
        <v>214</v>
      </c>
      <c r="CF147" t="s">
        <v>215</v>
      </c>
      <c r="CH147" t="s">
        <v>214</v>
      </c>
      <c r="CI147" t="s">
        <v>214</v>
      </c>
      <c r="CJ147" t="s">
        <v>214</v>
      </c>
      <c r="CP147" t="s">
        <v>214</v>
      </c>
      <c r="CS147" t="s">
        <v>216</v>
      </c>
      <c r="CV147" t="s">
        <v>214</v>
      </c>
      <c r="CW147" t="s">
        <v>214</v>
      </c>
      <c r="CX147" t="s">
        <v>217</v>
      </c>
      <c r="CY147" t="s">
        <v>214</v>
      </c>
      <c r="DA147" t="s">
        <v>218</v>
      </c>
    </row>
    <row r="148" spans="1:105" x14ac:dyDescent="0.3">
      <c r="A148">
        <v>1229192</v>
      </c>
      <c r="B148">
        <v>933706</v>
      </c>
      <c r="C148" t="str">
        <f>"081021651590"</f>
        <v>081021651590</v>
      </c>
      <c r="D148" t="s">
        <v>682</v>
      </c>
      <c r="E148" t="s">
        <v>326</v>
      </c>
      <c r="F148" t="s">
        <v>259</v>
      </c>
      <c r="G148" s="1">
        <v>39742</v>
      </c>
      <c r="I148" t="s">
        <v>222</v>
      </c>
      <c r="J148" t="s">
        <v>188</v>
      </c>
      <c r="K148" t="s">
        <v>260</v>
      </c>
      <c r="Y148" t="str">
        <f>"2017-08-29T00:00:00"</f>
        <v>2017-08-29T00:00:00</v>
      </c>
      <c r="Z148" t="str">
        <f>"№28"</f>
        <v>№28</v>
      </c>
      <c r="AA148" t="s">
        <v>224</v>
      </c>
      <c r="AC148" t="s">
        <v>191</v>
      </c>
      <c r="AD148" t="s">
        <v>226</v>
      </c>
      <c r="AE148" t="s">
        <v>193</v>
      </c>
      <c r="AF148" t="s">
        <v>194</v>
      </c>
      <c r="AH148" t="s">
        <v>195</v>
      </c>
      <c r="AI148">
        <v>2</v>
      </c>
      <c r="AJ148" t="s">
        <v>196</v>
      </c>
      <c r="AK148" t="s">
        <v>194</v>
      </c>
      <c r="AL148" t="s">
        <v>197</v>
      </c>
      <c r="AM148" t="s">
        <v>228</v>
      </c>
      <c r="AR148" t="s">
        <v>194</v>
      </c>
      <c r="AS148" t="s">
        <v>199</v>
      </c>
      <c r="AU148" t="s">
        <v>197</v>
      </c>
      <c r="AZ148" t="s">
        <v>194</v>
      </c>
      <c r="BA148" t="s">
        <v>200</v>
      </c>
      <c r="BB148" t="s">
        <v>201</v>
      </c>
      <c r="BD148" t="s">
        <v>200</v>
      </c>
      <c r="BE148" t="s">
        <v>202</v>
      </c>
      <c r="BF148" t="s">
        <v>197</v>
      </c>
      <c r="BG148" t="s">
        <v>230</v>
      </c>
      <c r="BH148" t="s">
        <v>420</v>
      </c>
      <c r="BJ148" t="s">
        <v>205</v>
      </c>
      <c r="BK148" t="s">
        <v>206</v>
      </c>
      <c r="BL148" t="s">
        <v>194</v>
      </c>
      <c r="BO148" t="s">
        <v>216</v>
      </c>
      <c r="BP148" t="s">
        <v>216</v>
      </c>
      <c r="BR148" t="s">
        <v>207</v>
      </c>
      <c r="BS148" t="s">
        <v>208</v>
      </c>
      <c r="BT148" t="s">
        <v>197</v>
      </c>
      <c r="BV148" t="s">
        <v>233</v>
      </c>
      <c r="CA148" t="s">
        <v>194</v>
      </c>
      <c r="CB148" t="s">
        <v>214</v>
      </c>
      <c r="CF148" t="s">
        <v>215</v>
      </c>
      <c r="CH148" t="s">
        <v>214</v>
      </c>
      <c r="CI148" t="s">
        <v>214</v>
      </c>
      <c r="CJ148" t="s">
        <v>214</v>
      </c>
      <c r="CP148" t="s">
        <v>214</v>
      </c>
      <c r="CS148" t="s">
        <v>216</v>
      </c>
      <c r="CV148" t="s">
        <v>214</v>
      </c>
      <c r="CW148" t="s">
        <v>214</v>
      </c>
      <c r="CX148" t="s">
        <v>217</v>
      </c>
      <c r="CY148" t="s">
        <v>214</v>
      </c>
      <c r="DA148" t="s">
        <v>218</v>
      </c>
    </row>
    <row r="149" spans="1:105" x14ac:dyDescent="0.3">
      <c r="A149">
        <v>1229210</v>
      </c>
      <c r="B149">
        <v>933717</v>
      </c>
      <c r="C149" t="str">
        <f>"081105550057"</f>
        <v>081105550057</v>
      </c>
      <c r="D149" t="s">
        <v>683</v>
      </c>
      <c r="E149" t="s">
        <v>603</v>
      </c>
      <c r="F149" t="s">
        <v>316</v>
      </c>
      <c r="G149" s="1">
        <v>39757</v>
      </c>
      <c r="I149" t="s">
        <v>187</v>
      </c>
      <c r="J149" t="s">
        <v>188</v>
      </c>
      <c r="K149" t="s">
        <v>223</v>
      </c>
      <c r="Y149" t="str">
        <f>"2017-01-09T00:00:00"</f>
        <v>2017-01-09T00:00:00</v>
      </c>
      <c r="Z149" t="str">
        <f>"№01"</f>
        <v>№01</v>
      </c>
      <c r="AA149" t="s">
        <v>224</v>
      </c>
      <c r="AC149" t="s">
        <v>225</v>
      </c>
      <c r="AD149" t="s">
        <v>226</v>
      </c>
      <c r="AE149" t="s">
        <v>227</v>
      </c>
      <c r="AF149" t="s">
        <v>194</v>
      </c>
      <c r="AH149" t="s">
        <v>195</v>
      </c>
      <c r="AI149">
        <v>2</v>
      </c>
      <c r="AJ149" t="s">
        <v>196</v>
      </c>
      <c r="AK149" t="s">
        <v>194</v>
      </c>
      <c r="AL149" t="s">
        <v>197</v>
      </c>
      <c r="AM149" t="s">
        <v>228</v>
      </c>
      <c r="AR149" t="s">
        <v>194</v>
      </c>
      <c r="AS149" t="s">
        <v>199</v>
      </c>
      <c r="AU149" t="s">
        <v>197</v>
      </c>
      <c r="AZ149" t="s">
        <v>194</v>
      </c>
      <c r="BA149" t="s">
        <v>200</v>
      </c>
      <c r="BB149" t="s">
        <v>201</v>
      </c>
      <c r="BD149" t="s">
        <v>200</v>
      </c>
      <c r="BE149" t="s">
        <v>202</v>
      </c>
      <c r="BF149" t="s">
        <v>197</v>
      </c>
      <c r="BG149" t="s">
        <v>238</v>
      </c>
      <c r="BH149">
        <v>3</v>
      </c>
      <c r="BJ149" t="s">
        <v>205</v>
      </c>
      <c r="BK149" t="s">
        <v>206</v>
      </c>
      <c r="BL149" t="s">
        <v>214</v>
      </c>
      <c r="BO149" t="s">
        <v>200</v>
      </c>
      <c r="BP149" t="s">
        <v>200</v>
      </c>
      <c r="BR149" t="s">
        <v>246</v>
      </c>
      <c r="BS149" t="s">
        <v>208</v>
      </c>
      <c r="BT149" t="s">
        <v>197</v>
      </c>
      <c r="BV149" t="s">
        <v>233</v>
      </c>
      <c r="CA149" t="s">
        <v>194</v>
      </c>
      <c r="CB149" t="s">
        <v>214</v>
      </c>
      <c r="CF149" t="s">
        <v>215</v>
      </c>
      <c r="CH149" t="s">
        <v>214</v>
      </c>
      <c r="CI149" t="s">
        <v>214</v>
      </c>
      <c r="CJ149" t="s">
        <v>214</v>
      </c>
      <c r="CP149" t="s">
        <v>214</v>
      </c>
      <c r="CS149" t="s">
        <v>216</v>
      </c>
      <c r="CV149" t="s">
        <v>214</v>
      </c>
      <c r="CW149" t="s">
        <v>214</v>
      </c>
      <c r="CX149" t="s">
        <v>217</v>
      </c>
      <c r="CY149" t="s">
        <v>214</v>
      </c>
      <c r="DA149" t="s">
        <v>218</v>
      </c>
    </row>
    <row r="150" spans="1:105" x14ac:dyDescent="0.3">
      <c r="A150">
        <v>1228465</v>
      </c>
      <c r="B150">
        <v>933297</v>
      </c>
      <c r="C150" t="str">
        <f>"090811554740"</f>
        <v>090811554740</v>
      </c>
      <c r="D150" t="s">
        <v>684</v>
      </c>
      <c r="E150" t="s">
        <v>685</v>
      </c>
      <c r="F150" t="s">
        <v>686</v>
      </c>
      <c r="G150" s="1">
        <v>40036</v>
      </c>
      <c r="I150" t="s">
        <v>187</v>
      </c>
      <c r="J150" t="s">
        <v>188</v>
      </c>
      <c r="K150" t="s">
        <v>189</v>
      </c>
      <c r="Y150" t="str">
        <f>"2015-09-01T00:00:00"</f>
        <v>2015-09-01T00:00:00</v>
      </c>
      <c r="Z150" t="str">
        <f>"№46"</f>
        <v>№46</v>
      </c>
      <c r="AA150" t="s">
        <v>190</v>
      </c>
      <c r="AC150" t="s">
        <v>237</v>
      </c>
      <c r="AD150" t="s">
        <v>242</v>
      </c>
      <c r="AE150" t="s">
        <v>193</v>
      </c>
      <c r="AF150" t="s">
        <v>194</v>
      </c>
      <c r="AH150" t="s">
        <v>195</v>
      </c>
      <c r="AI150">
        <v>1</v>
      </c>
      <c r="AJ150" t="s">
        <v>196</v>
      </c>
      <c r="AK150" t="s">
        <v>194</v>
      </c>
      <c r="AL150" t="s">
        <v>197</v>
      </c>
      <c r="AM150" t="s">
        <v>228</v>
      </c>
      <c r="AR150" t="s">
        <v>194</v>
      </c>
      <c r="AS150" t="s">
        <v>199</v>
      </c>
      <c r="AU150" t="s">
        <v>197</v>
      </c>
      <c r="AZ150" t="s">
        <v>194</v>
      </c>
      <c r="BA150" t="s">
        <v>200</v>
      </c>
      <c r="BB150" t="s">
        <v>201</v>
      </c>
      <c r="BD150" t="s">
        <v>200</v>
      </c>
      <c r="BE150" t="s">
        <v>202</v>
      </c>
      <c r="BF150" t="s">
        <v>197</v>
      </c>
      <c r="BG150" t="s">
        <v>230</v>
      </c>
      <c r="BH150" t="s">
        <v>275</v>
      </c>
      <c r="BJ150" t="s">
        <v>205</v>
      </c>
      <c r="BK150" t="s">
        <v>206</v>
      </c>
      <c r="BL150" t="s">
        <v>194</v>
      </c>
      <c r="BO150" t="s">
        <v>200</v>
      </c>
      <c r="BP150" t="s">
        <v>200</v>
      </c>
      <c r="BR150" t="s">
        <v>246</v>
      </c>
      <c r="BS150" t="s">
        <v>208</v>
      </c>
      <c r="BT150" t="s">
        <v>197</v>
      </c>
      <c r="BV150" t="s">
        <v>233</v>
      </c>
      <c r="CA150" t="s">
        <v>214</v>
      </c>
      <c r="CB150" t="s">
        <v>214</v>
      </c>
      <c r="CF150" t="s">
        <v>215</v>
      </c>
      <c r="CH150" t="s">
        <v>214</v>
      </c>
      <c r="CI150" t="s">
        <v>214</v>
      </c>
      <c r="CJ150" t="s">
        <v>214</v>
      </c>
      <c r="CP150" t="s">
        <v>214</v>
      </c>
      <c r="CS150" t="s">
        <v>216</v>
      </c>
      <c r="CV150" t="s">
        <v>214</v>
      </c>
      <c r="CW150" t="s">
        <v>214</v>
      </c>
      <c r="CX150" t="s">
        <v>217</v>
      </c>
      <c r="CY150" t="s">
        <v>214</v>
      </c>
      <c r="DA150" t="s">
        <v>218</v>
      </c>
    </row>
    <row r="151" spans="1:105" x14ac:dyDescent="0.3">
      <c r="A151">
        <v>1228439</v>
      </c>
      <c r="B151">
        <v>933282</v>
      </c>
      <c r="C151" t="str">
        <f>"080525554467"</f>
        <v>080525554467</v>
      </c>
      <c r="D151" t="s">
        <v>687</v>
      </c>
      <c r="E151" t="s">
        <v>593</v>
      </c>
      <c r="F151" t="s">
        <v>390</v>
      </c>
      <c r="G151" s="1">
        <v>39593</v>
      </c>
      <c r="I151" t="s">
        <v>187</v>
      </c>
      <c r="J151" t="s">
        <v>188</v>
      </c>
      <c r="K151" t="s">
        <v>223</v>
      </c>
      <c r="Y151" t="str">
        <f>"2014-09-01T00:00:00"</f>
        <v>2014-09-01T00:00:00</v>
      </c>
      <c r="Z151" t="str">
        <f>"№76"</f>
        <v>№76</v>
      </c>
      <c r="AA151" t="s">
        <v>190</v>
      </c>
      <c r="AC151" t="s">
        <v>225</v>
      </c>
      <c r="AD151" t="s">
        <v>242</v>
      </c>
      <c r="AE151" t="s">
        <v>193</v>
      </c>
      <c r="AF151" t="s">
        <v>194</v>
      </c>
      <c r="AH151" t="s">
        <v>195</v>
      </c>
      <c r="AI151">
        <v>1</v>
      </c>
      <c r="AJ151" t="s">
        <v>196</v>
      </c>
      <c r="AK151" t="s">
        <v>194</v>
      </c>
      <c r="AL151" t="s">
        <v>197</v>
      </c>
      <c r="AM151" t="s">
        <v>228</v>
      </c>
      <c r="AR151" t="s">
        <v>194</v>
      </c>
      <c r="AS151" t="s">
        <v>199</v>
      </c>
      <c r="AU151" t="s">
        <v>197</v>
      </c>
      <c r="AZ151" t="s">
        <v>194</v>
      </c>
      <c r="BA151" t="s">
        <v>200</v>
      </c>
      <c r="BB151" t="s">
        <v>201</v>
      </c>
      <c r="BD151" t="s">
        <v>200</v>
      </c>
      <c r="BE151" t="s">
        <v>229</v>
      </c>
      <c r="BF151" t="s">
        <v>197</v>
      </c>
      <c r="BG151" t="s">
        <v>230</v>
      </c>
      <c r="BH151" t="s">
        <v>263</v>
      </c>
      <c r="BJ151" t="s">
        <v>205</v>
      </c>
      <c r="BK151" t="s">
        <v>206</v>
      </c>
      <c r="BL151" t="s">
        <v>194</v>
      </c>
      <c r="BO151" t="s">
        <v>200</v>
      </c>
      <c r="BP151" t="s">
        <v>200</v>
      </c>
      <c r="BR151" t="s">
        <v>246</v>
      </c>
      <c r="BS151" t="s">
        <v>208</v>
      </c>
      <c r="BT151" t="s">
        <v>197</v>
      </c>
      <c r="BV151" t="s">
        <v>233</v>
      </c>
      <c r="CA151" t="s">
        <v>194</v>
      </c>
      <c r="CB151" t="s">
        <v>214</v>
      </c>
      <c r="CF151" t="s">
        <v>215</v>
      </c>
      <c r="CH151" t="s">
        <v>214</v>
      </c>
      <c r="CI151" t="s">
        <v>214</v>
      </c>
      <c r="CJ151" t="s">
        <v>214</v>
      </c>
      <c r="CP151" t="s">
        <v>214</v>
      </c>
      <c r="CS151" t="s">
        <v>216</v>
      </c>
      <c r="CV151" t="s">
        <v>214</v>
      </c>
      <c r="CW151" t="s">
        <v>214</v>
      </c>
      <c r="CX151" t="s">
        <v>217</v>
      </c>
      <c r="CY151" t="s">
        <v>214</v>
      </c>
      <c r="DA151" t="s">
        <v>218</v>
      </c>
    </row>
    <row r="152" spans="1:105" x14ac:dyDescent="0.3">
      <c r="A152">
        <v>1229307</v>
      </c>
      <c r="B152">
        <v>898285</v>
      </c>
      <c r="C152" t="str">
        <f>"110613503964"</f>
        <v>110613503964</v>
      </c>
      <c r="D152" t="s">
        <v>688</v>
      </c>
      <c r="E152" t="s">
        <v>689</v>
      </c>
      <c r="F152" t="s">
        <v>479</v>
      </c>
      <c r="G152" s="1">
        <v>40707</v>
      </c>
      <c r="I152" t="s">
        <v>187</v>
      </c>
      <c r="J152" t="s">
        <v>188</v>
      </c>
      <c r="K152" t="s">
        <v>189</v>
      </c>
      <c r="Y152" t="str">
        <f>"2018-08-15T00:00:00"</f>
        <v>2018-08-15T00:00:00</v>
      </c>
      <c r="Z152" t="str">
        <f>"№20"</f>
        <v>№20</v>
      </c>
      <c r="AA152" t="s">
        <v>224</v>
      </c>
      <c r="AC152" t="s">
        <v>191</v>
      </c>
      <c r="AD152" t="s">
        <v>285</v>
      </c>
      <c r="AE152" t="s">
        <v>193</v>
      </c>
      <c r="AF152" t="s">
        <v>194</v>
      </c>
      <c r="AH152" t="s">
        <v>195</v>
      </c>
      <c r="AI152">
        <v>1</v>
      </c>
      <c r="AJ152" t="s">
        <v>196</v>
      </c>
      <c r="AK152" t="s">
        <v>194</v>
      </c>
      <c r="AL152" t="s">
        <v>197</v>
      </c>
      <c r="AM152" t="s">
        <v>198</v>
      </c>
      <c r="AR152" t="s">
        <v>194</v>
      </c>
      <c r="AS152" t="s">
        <v>199</v>
      </c>
      <c r="AU152" t="s">
        <v>197</v>
      </c>
      <c r="AZ152" t="s">
        <v>194</v>
      </c>
      <c r="BA152" t="s">
        <v>200</v>
      </c>
      <c r="BB152" t="s">
        <v>201</v>
      </c>
      <c r="BD152" t="s">
        <v>200</v>
      </c>
      <c r="BE152" t="s">
        <v>229</v>
      </c>
      <c r="BF152" t="s">
        <v>197</v>
      </c>
      <c r="BG152" t="s">
        <v>262</v>
      </c>
      <c r="BH152" t="s">
        <v>608</v>
      </c>
      <c r="BJ152" t="s">
        <v>205</v>
      </c>
      <c r="BK152" t="s">
        <v>206</v>
      </c>
      <c r="BL152" t="s">
        <v>194</v>
      </c>
      <c r="BO152" t="s">
        <v>200</v>
      </c>
      <c r="BP152" t="s">
        <v>200</v>
      </c>
      <c r="BQ152" t="s">
        <v>286</v>
      </c>
      <c r="BR152" t="s">
        <v>232</v>
      </c>
      <c r="BT152" t="s">
        <v>197</v>
      </c>
      <c r="BV152" t="s">
        <v>233</v>
      </c>
      <c r="CA152" t="s">
        <v>194</v>
      </c>
      <c r="CB152" t="s">
        <v>214</v>
      </c>
      <c r="CF152" t="s">
        <v>215</v>
      </c>
      <c r="CH152" t="s">
        <v>214</v>
      </c>
      <c r="CI152" t="s">
        <v>214</v>
      </c>
      <c r="CJ152" t="s">
        <v>214</v>
      </c>
      <c r="CP152" t="s">
        <v>214</v>
      </c>
      <c r="CS152" t="s">
        <v>216</v>
      </c>
      <c r="CV152" t="s">
        <v>214</v>
      </c>
      <c r="CW152" t="s">
        <v>214</v>
      </c>
      <c r="CX152" t="s">
        <v>217</v>
      </c>
      <c r="CY152" t="s">
        <v>214</v>
      </c>
      <c r="DA152" t="s">
        <v>218</v>
      </c>
    </row>
    <row r="153" spans="1:105" x14ac:dyDescent="0.3">
      <c r="A153">
        <v>1228321</v>
      </c>
      <c r="B153">
        <v>933228</v>
      </c>
      <c r="C153" t="str">
        <f>"120927501696"</f>
        <v>120927501696</v>
      </c>
      <c r="D153" t="s">
        <v>690</v>
      </c>
      <c r="E153" t="s">
        <v>691</v>
      </c>
      <c r="F153" t="s">
        <v>289</v>
      </c>
      <c r="G153" s="1">
        <v>41179</v>
      </c>
      <c r="I153" t="s">
        <v>187</v>
      </c>
      <c r="J153" t="s">
        <v>188</v>
      </c>
      <c r="K153" t="s">
        <v>223</v>
      </c>
      <c r="Y153" t="str">
        <f>"2018-09-01T00:00:00"</f>
        <v>2018-09-01T00:00:00</v>
      </c>
      <c r="Z153" t="str">
        <f>"№26"</f>
        <v>№26</v>
      </c>
      <c r="AA153" t="s">
        <v>224</v>
      </c>
      <c r="AC153" t="s">
        <v>191</v>
      </c>
      <c r="AD153" t="s">
        <v>615</v>
      </c>
      <c r="AE153" t="s">
        <v>193</v>
      </c>
      <c r="AF153" t="s">
        <v>194</v>
      </c>
      <c r="AH153" t="s">
        <v>195</v>
      </c>
      <c r="AI153">
        <v>1</v>
      </c>
      <c r="AJ153" t="s">
        <v>196</v>
      </c>
      <c r="AK153" t="s">
        <v>194</v>
      </c>
      <c r="AL153" t="s">
        <v>197</v>
      </c>
      <c r="AM153" t="s">
        <v>198</v>
      </c>
      <c r="AR153" t="s">
        <v>194</v>
      </c>
      <c r="AS153" t="s">
        <v>199</v>
      </c>
      <c r="AU153" t="s">
        <v>197</v>
      </c>
      <c r="AZ153" t="s">
        <v>194</v>
      </c>
      <c r="BA153" t="s">
        <v>200</v>
      </c>
      <c r="BB153" t="s">
        <v>201</v>
      </c>
      <c r="BD153" t="s">
        <v>200</v>
      </c>
      <c r="BE153" t="s">
        <v>229</v>
      </c>
      <c r="BF153" t="s">
        <v>197</v>
      </c>
      <c r="BG153" t="s">
        <v>230</v>
      </c>
      <c r="BH153" t="s">
        <v>231</v>
      </c>
      <c r="BJ153" t="s">
        <v>205</v>
      </c>
      <c r="BK153" t="s">
        <v>206</v>
      </c>
      <c r="BL153" t="s">
        <v>194</v>
      </c>
      <c r="BO153" t="s">
        <v>200</v>
      </c>
      <c r="BP153" t="s">
        <v>200</v>
      </c>
      <c r="BQ153" s="2">
        <v>44805</v>
      </c>
      <c r="BR153" t="s">
        <v>232</v>
      </c>
      <c r="BT153" t="s">
        <v>197</v>
      </c>
      <c r="BV153" t="s">
        <v>233</v>
      </c>
      <c r="CA153" t="s">
        <v>194</v>
      </c>
      <c r="CB153" t="s">
        <v>194</v>
      </c>
      <c r="CC153" t="s">
        <v>264</v>
      </c>
      <c r="CD153" t="s">
        <v>265</v>
      </c>
      <c r="CE153" t="s">
        <v>266</v>
      </c>
      <c r="CF153" t="s">
        <v>215</v>
      </c>
      <c r="CH153" t="s">
        <v>214</v>
      </c>
      <c r="CI153" t="s">
        <v>214</v>
      </c>
      <c r="CJ153" t="s">
        <v>214</v>
      </c>
      <c r="CP153" t="s">
        <v>214</v>
      </c>
      <c r="CS153" t="s">
        <v>216</v>
      </c>
      <c r="CV153" t="s">
        <v>214</v>
      </c>
      <c r="CW153" t="s">
        <v>214</v>
      </c>
      <c r="CX153" t="s">
        <v>217</v>
      </c>
      <c r="CY153" t="s">
        <v>214</v>
      </c>
      <c r="DA153" t="s">
        <v>218</v>
      </c>
    </row>
    <row r="154" spans="1:105" x14ac:dyDescent="0.3">
      <c r="A154">
        <v>1228309</v>
      </c>
      <c r="B154">
        <v>898010</v>
      </c>
      <c r="C154" t="str">
        <f>"091122651422"</f>
        <v>091122651422</v>
      </c>
      <c r="D154" t="s">
        <v>692</v>
      </c>
      <c r="E154" t="s">
        <v>693</v>
      </c>
      <c r="F154" t="s">
        <v>694</v>
      </c>
      <c r="G154" s="1">
        <v>40139</v>
      </c>
      <c r="I154" t="s">
        <v>222</v>
      </c>
      <c r="J154" t="s">
        <v>188</v>
      </c>
      <c r="K154" t="s">
        <v>189</v>
      </c>
      <c r="Y154" t="str">
        <f>"2015-09-01T00:00:00"</f>
        <v>2015-09-01T00:00:00</v>
      </c>
      <c r="Z154" t="str">
        <f>"№46"</f>
        <v>№46</v>
      </c>
      <c r="AA154" t="s">
        <v>224</v>
      </c>
      <c r="AC154" t="s">
        <v>225</v>
      </c>
      <c r="AD154" t="s">
        <v>242</v>
      </c>
      <c r="AE154" t="s">
        <v>193</v>
      </c>
      <c r="AF154" t="s">
        <v>194</v>
      </c>
      <c r="AH154" t="s">
        <v>195</v>
      </c>
      <c r="AI154">
        <v>1</v>
      </c>
      <c r="AJ154" t="s">
        <v>196</v>
      </c>
      <c r="AK154" t="s">
        <v>194</v>
      </c>
      <c r="AL154" t="s">
        <v>197</v>
      </c>
      <c r="AM154" t="s">
        <v>228</v>
      </c>
      <c r="AR154" t="s">
        <v>214</v>
      </c>
      <c r="AU154" t="s">
        <v>197</v>
      </c>
      <c r="AZ154" t="s">
        <v>194</v>
      </c>
      <c r="BA154" t="s">
        <v>200</v>
      </c>
      <c r="BB154" t="s">
        <v>201</v>
      </c>
      <c r="BD154" t="s">
        <v>200</v>
      </c>
      <c r="BE154" t="s">
        <v>229</v>
      </c>
      <c r="BF154" t="s">
        <v>197</v>
      </c>
      <c r="BG154" t="s">
        <v>230</v>
      </c>
      <c r="BH154" t="s">
        <v>263</v>
      </c>
      <c r="BJ154" t="s">
        <v>205</v>
      </c>
      <c r="BK154" t="s">
        <v>206</v>
      </c>
      <c r="BL154" t="s">
        <v>194</v>
      </c>
      <c r="BO154" t="s">
        <v>200</v>
      </c>
      <c r="BP154" t="s">
        <v>200</v>
      </c>
      <c r="BR154" t="s">
        <v>232</v>
      </c>
      <c r="BT154" t="s">
        <v>197</v>
      </c>
      <c r="BV154" t="s">
        <v>558</v>
      </c>
      <c r="BW154" t="s">
        <v>559</v>
      </c>
      <c r="BX154" t="s">
        <v>560</v>
      </c>
      <c r="BY154" t="s">
        <v>695</v>
      </c>
      <c r="BZ154" t="s">
        <v>696</v>
      </c>
      <c r="CA154" t="s">
        <v>194</v>
      </c>
      <c r="CB154" t="s">
        <v>214</v>
      </c>
      <c r="CF154" t="s">
        <v>215</v>
      </c>
      <c r="CH154" t="s">
        <v>214</v>
      </c>
      <c r="CI154" t="s">
        <v>214</v>
      </c>
      <c r="CJ154" t="s">
        <v>214</v>
      </c>
      <c r="CP154" t="s">
        <v>214</v>
      </c>
      <c r="CS154" t="s">
        <v>216</v>
      </c>
      <c r="CV154" t="s">
        <v>214</v>
      </c>
      <c r="CW154" t="s">
        <v>214</v>
      </c>
      <c r="CX154" t="s">
        <v>217</v>
      </c>
      <c r="CY154" t="s">
        <v>214</v>
      </c>
      <c r="DA154" t="s">
        <v>218</v>
      </c>
    </row>
    <row r="155" spans="1:105" x14ac:dyDescent="0.3">
      <c r="A155">
        <v>1228099</v>
      </c>
      <c r="B155">
        <v>933088</v>
      </c>
      <c r="C155" t="str">
        <f>"100830652431"</f>
        <v>100830652431</v>
      </c>
      <c r="D155" t="s">
        <v>697</v>
      </c>
      <c r="E155" t="s">
        <v>698</v>
      </c>
      <c r="F155" t="s">
        <v>268</v>
      </c>
      <c r="G155" s="1">
        <v>40420</v>
      </c>
      <c r="I155" t="s">
        <v>222</v>
      </c>
      <c r="J155" t="s">
        <v>188</v>
      </c>
      <c r="K155" t="s">
        <v>223</v>
      </c>
      <c r="Y155" t="str">
        <f>"2016-08-29T00:00:00"</f>
        <v>2016-08-29T00:00:00</v>
      </c>
      <c r="Z155" t="str">
        <f>"№39"</f>
        <v>№39</v>
      </c>
      <c r="AA155" t="s">
        <v>190</v>
      </c>
      <c r="AC155" t="s">
        <v>237</v>
      </c>
      <c r="AD155" t="s">
        <v>242</v>
      </c>
      <c r="AE155" t="s">
        <v>243</v>
      </c>
      <c r="AF155" t="s">
        <v>194</v>
      </c>
      <c r="AH155" t="s">
        <v>195</v>
      </c>
      <c r="AI155">
        <v>1</v>
      </c>
      <c r="AJ155" t="s">
        <v>196</v>
      </c>
      <c r="AK155" t="s">
        <v>194</v>
      </c>
      <c r="AL155" t="s">
        <v>197</v>
      </c>
      <c r="AM155" t="s">
        <v>228</v>
      </c>
      <c r="AR155" t="s">
        <v>194</v>
      </c>
      <c r="AS155" t="s">
        <v>199</v>
      </c>
      <c r="AU155" t="s">
        <v>197</v>
      </c>
      <c r="AZ155" t="s">
        <v>194</v>
      </c>
      <c r="BA155" t="s">
        <v>200</v>
      </c>
      <c r="BB155" t="s">
        <v>201</v>
      </c>
      <c r="BD155" t="s">
        <v>200</v>
      </c>
      <c r="BE155" t="s">
        <v>244</v>
      </c>
      <c r="BF155" t="s">
        <v>197</v>
      </c>
      <c r="BG155" t="s">
        <v>230</v>
      </c>
      <c r="BH155" t="s">
        <v>245</v>
      </c>
      <c r="BJ155" t="s">
        <v>205</v>
      </c>
      <c r="BK155" t="s">
        <v>206</v>
      </c>
      <c r="BL155" t="s">
        <v>194</v>
      </c>
      <c r="BO155" t="s">
        <v>200</v>
      </c>
      <c r="BP155" t="s">
        <v>200</v>
      </c>
      <c r="BR155" t="s">
        <v>232</v>
      </c>
      <c r="BT155" t="s">
        <v>197</v>
      </c>
      <c r="BV155" t="s">
        <v>415</v>
      </c>
      <c r="BW155" t="s">
        <v>416</v>
      </c>
      <c r="BX155" t="s">
        <v>211</v>
      </c>
      <c r="BY155" t="s">
        <v>212</v>
      </c>
      <c r="BZ155" t="s">
        <v>482</v>
      </c>
      <c r="CA155" t="s">
        <v>194</v>
      </c>
      <c r="CB155" t="s">
        <v>214</v>
      </c>
      <c r="CF155" t="s">
        <v>215</v>
      </c>
      <c r="CH155" t="s">
        <v>214</v>
      </c>
      <c r="CI155" t="s">
        <v>214</v>
      </c>
      <c r="CJ155" t="s">
        <v>214</v>
      </c>
      <c r="CP155" t="s">
        <v>214</v>
      </c>
      <c r="CS155" t="s">
        <v>216</v>
      </c>
      <c r="CV155" t="s">
        <v>214</v>
      </c>
      <c r="CW155" t="s">
        <v>214</v>
      </c>
      <c r="CX155" t="s">
        <v>217</v>
      </c>
      <c r="CY155" t="s">
        <v>214</v>
      </c>
      <c r="DA155" t="s">
        <v>218</v>
      </c>
    </row>
    <row r="156" spans="1:105" x14ac:dyDescent="0.3">
      <c r="A156">
        <v>1229472</v>
      </c>
      <c r="B156">
        <v>618564</v>
      </c>
      <c r="C156" t="str">
        <f>"121111000021"</f>
        <v>121111000021</v>
      </c>
      <c r="D156" t="s">
        <v>699</v>
      </c>
      <c r="E156" t="s">
        <v>326</v>
      </c>
      <c r="F156" t="s">
        <v>358</v>
      </c>
      <c r="G156" s="1">
        <v>41224</v>
      </c>
      <c r="I156" t="s">
        <v>222</v>
      </c>
      <c r="J156" t="s">
        <v>700</v>
      </c>
      <c r="K156" t="s">
        <v>345</v>
      </c>
      <c r="L156" t="s">
        <v>214</v>
      </c>
      <c r="Y156" t="str">
        <f>"2018-08-06T00:00:00"</f>
        <v>2018-08-06T00:00:00</v>
      </c>
      <c r="Z156" t="str">
        <f>"№19"</f>
        <v>№19</v>
      </c>
      <c r="AA156" t="s">
        <v>224</v>
      </c>
      <c r="AC156" t="s">
        <v>237</v>
      </c>
      <c r="AD156" t="s">
        <v>285</v>
      </c>
      <c r="AE156" t="s">
        <v>243</v>
      </c>
      <c r="AF156" t="s">
        <v>194</v>
      </c>
      <c r="AH156" t="s">
        <v>195</v>
      </c>
      <c r="AI156">
        <v>1</v>
      </c>
      <c r="AJ156" t="s">
        <v>196</v>
      </c>
      <c r="AK156" t="s">
        <v>194</v>
      </c>
      <c r="AL156" t="s">
        <v>197</v>
      </c>
      <c r="AM156" t="s">
        <v>228</v>
      </c>
      <c r="AR156" t="s">
        <v>194</v>
      </c>
      <c r="AS156" t="s">
        <v>199</v>
      </c>
      <c r="AU156" t="s">
        <v>197</v>
      </c>
      <c r="AZ156" t="s">
        <v>194</v>
      </c>
      <c r="BA156" t="s">
        <v>200</v>
      </c>
      <c r="BB156" t="s">
        <v>201</v>
      </c>
      <c r="BD156" t="s">
        <v>200</v>
      </c>
      <c r="BE156" t="s">
        <v>229</v>
      </c>
      <c r="BF156" t="s">
        <v>197</v>
      </c>
      <c r="BG156" t="s">
        <v>269</v>
      </c>
      <c r="BH156" t="s">
        <v>591</v>
      </c>
      <c r="BJ156" t="s">
        <v>205</v>
      </c>
      <c r="BK156" t="s">
        <v>206</v>
      </c>
      <c r="BL156" t="s">
        <v>194</v>
      </c>
      <c r="BO156" t="s">
        <v>216</v>
      </c>
      <c r="BP156" t="s">
        <v>216</v>
      </c>
      <c r="BQ156" t="s">
        <v>280</v>
      </c>
      <c r="BR156" t="s">
        <v>232</v>
      </c>
      <c r="BT156" t="s">
        <v>197</v>
      </c>
      <c r="BV156" t="s">
        <v>233</v>
      </c>
      <c r="CA156" t="s">
        <v>194</v>
      </c>
      <c r="CB156" t="s">
        <v>194</v>
      </c>
      <c r="CC156" t="s">
        <v>264</v>
      </c>
      <c r="CD156" t="s">
        <v>265</v>
      </c>
      <c r="CE156" t="s">
        <v>266</v>
      </c>
      <c r="CF156" t="s">
        <v>215</v>
      </c>
      <c r="CH156" t="s">
        <v>214</v>
      </c>
      <c r="CI156" t="s">
        <v>214</v>
      </c>
      <c r="CJ156" t="s">
        <v>214</v>
      </c>
      <c r="CP156" t="s">
        <v>214</v>
      </c>
      <c r="CS156" t="s">
        <v>216</v>
      </c>
      <c r="CV156" t="s">
        <v>214</v>
      </c>
      <c r="CW156" t="s">
        <v>214</v>
      </c>
      <c r="CX156" t="s">
        <v>217</v>
      </c>
      <c r="CY156" t="s">
        <v>214</v>
      </c>
      <c r="DA156" t="s">
        <v>218</v>
      </c>
    </row>
    <row r="157" spans="1:105" x14ac:dyDescent="0.3">
      <c r="A157">
        <v>1228067</v>
      </c>
      <c r="B157">
        <v>933070</v>
      </c>
      <c r="C157" t="str">
        <f>"111018504445"</f>
        <v>111018504445</v>
      </c>
      <c r="D157" t="s">
        <v>701</v>
      </c>
      <c r="E157" t="s">
        <v>573</v>
      </c>
      <c r="F157" t="s">
        <v>702</v>
      </c>
      <c r="G157" s="1">
        <v>40834</v>
      </c>
      <c r="I157" t="s">
        <v>187</v>
      </c>
      <c r="J157" t="s">
        <v>188</v>
      </c>
      <c r="K157" t="s">
        <v>223</v>
      </c>
      <c r="Y157" t="str">
        <f>"2018-08-15T00:00:00"</f>
        <v>2018-08-15T00:00:00</v>
      </c>
      <c r="Z157" t="str">
        <f>"№20"</f>
        <v>№20</v>
      </c>
      <c r="AA157" t="s">
        <v>224</v>
      </c>
      <c r="AC157" t="s">
        <v>191</v>
      </c>
      <c r="AD157" t="s">
        <v>285</v>
      </c>
      <c r="AE157" t="s">
        <v>193</v>
      </c>
      <c r="AF157" t="s">
        <v>194</v>
      </c>
      <c r="AH157" t="s">
        <v>195</v>
      </c>
      <c r="AI157">
        <v>2</v>
      </c>
      <c r="AJ157" t="s">
        <v>196</v>
      </c>
      <c r="AK157" t="s">
        <v>194</v>
      </c>
      <c r="AL157" t="s">
        <v>197</v>
      </c>
      <c r="AM157" t="s">
        <v>198</v>
      </c>
      <c r="AR157" t="s">
        <v>194</v>
      </c>
      <c r="AS157" t="s">
        <v>199</v>
      </c>
      <c r="AU157" t="s">
        <v>197</v>
      </c>
      <c r="AZ157" t="s">
        <v>194</v>
      </c>
      <c r="BA157" t="s">
        <v>200</v>
      </c>
      <c r="BB157" t="s">
        <v>201</v>
      </c>
      <c r="BD157" t="s">
        <v>200</v>
      </c>
      <c r="BE157" t="s">
        <v>244</v>
      </c>
      <c r="BF157" t="s">
        <v>197</v>
      </c>
      <c r="BG157" t="s">
        <v>677</v>
      </c>
      <c r="BH157" t="s">
        <v>432</v>
      </c>
      <c r="BJ157" t="s">
        <v>205</v>
      </c>
      <c r="BK157" t="s">
        <v>206</v>
      </c>
      <c r="BL157" t="s">
        <v>194</v>
      </c>
      <c r="BO157" t="s">
        <v>200</v>
      </c>
      <c r="BP157" t="s">
        <v>200</v>
      </c>
      <c r="BQ157" t="s">
        <v>286</v>
      </c>
      <c r="BR157" t="s">
        <v>232</v>
      </c>
      <c r="BT157" t="s">
        <v>197</v>
      </c>
      <c r="BV157" t="s">
        <v>415</v>
      </c>
      <c r="BW157" t="s">
        <v>416</v>
      </c>
      <c r="BX157" t="s">
        <v>211</v>
      </c>
      <c r="BY157" t="s">
        <v>534</v>
      </c>
      <c r="BZ157" t="s">
        <v>572</v>
      </c>
      <c r="CA157" t="s">
        <v>194</v>
      </c>
      <c r="CB157" t="s">
        <v>214</v>
      </c>
      <c r="CF157" t="s">
        <v>215</v>
      </c>
      <c r="CH157" t="s">
        <v>214</v>
      </c>
      <c r="CI157" t="s">
        <v>214</v>
      </c>
      <c r="CJ157" t="s">
        <v>214</v>
      </c>
      <c r="CP157" t="s">
        <v>214</v>
      </c>
      <c r="CS157" t="s">
        <v>216</v>
      </c>
      <c r="CV157" t="s">
        <v>214</v>
      </c>
      <c r="CW157" t="s">
        <v>214</v>
      </c>
      <c r="CX157" t="s">
        <v>217</v>
      </c>
      <c r="CY157" t="s">
        <v>214</v>
      </c>
      <c r="DA157" t="s">
        <v>218</v>
      </c>
    </row>
    <row r="158" spans="1:105" x14ac:dyDescent="0.3">
      <c r="A158">
        <v>1228056</v>
      </c>
      <c r="B158">
        <v>933064</v>
      </c>
      <c r="C158" t="str">
        <f>"110831600614"</f>
        <v>110831600614</v>
      </c>
      <c r="D158" t="s">
        <v>703</v>
      </c>
      <c r="E158" t="s">
        <v>704</v>
      </c>
      <c r="F158" t="s">
        <v>705</v>
      </c>
      <c r="G158" s="1">
        <v>40786</v>
      </c>
      <c r="I158" t="s">
        <v>222</v>
      </c>
      <c r="J158" t="s">
        <v>188</v>
      </c>
      <c r="K158" t="s">
        <v>189</v>
      </c>
      <c r="Y158" t="str">
        <f>"2017-08-21T00:00:00"</f>
        <v>2017-08-21T00:00:00</v>
      </c>
      <c r="Z158" t="str">
        <f>"№25"</f>
        <v>№25</v>
      </c>
      <c r="AA158" t="s">
        <v>224</v>
      </c>
      <c r="AC158" t="s">
        <v>191</v>
      </c>
      <c r="AD158" t="s">
        <v>261</v>
      </c>
      <c r="AE158" t="s">
        <v>243</v>
      </c>
      <c r="AF158" t="s">
        <v>194</v>
      </c>
      <c r="AH158" t="s">
        <v>195</v>
      </c>
      <c r="AI158">
        <v>2</v>
      </c>
      <c r="AJ158" t="s">
        <v>196</v>
      </c>
      <c r="AK158" t="s">
        <v>194</v>
      </c>
      <c r="AL158" t="s">
        <v>197</v>
      </c>
      <c r="AM158" t="s">
        <v>198</v>
      </c>
      <c r="AR158" t="s">
        <v>194</v>
      </c>
      <c r="AS158" t="s">
        <v>199</v>
      </c>
      <c r="AU158" t="s">
        <v>197</v>
      </c>
      <c r="AZ158" t="s">
        <v>194</v>
      </c>
      <c r="BA158" t="s">
        <v>200</v>
      </c>
      <c r="BB158" t="s">
        <v>201</v>
      </c>
      <c r="BD158" t="s">
        <v>200</v>
      </c>
      <c r="BE158" t="s">
        <v>229</v>
      </c>
      <c r="BF158" t="s">
        <v>197</v>
      </c>
      <c r="BG158" t="s">
        <v>269</v>
      </c>
      <c r="BH158" t="s">
        <v>591</v>
      </c>
      <c r="BJ158" t="s">
        <v>205</v>
      </c>
      <c r="BK158" t="s">
        <v>206</v>
      </c>
      <c r="BL158" t="s">
        <v>194</v>
      </c>
      <c r="BO158" t="s">
        <v>200</v>
      </c>
      <c r="BP158" t="s">
        <v>200</v>
      </c>
      <c r="BR158" t="s">
        <v>232</v>
      </c>
      <c r="BT158" t="s">
        <v>197</v>
      </c>
      <c r="BV158" t="s">
        <v>233</v>
      </c>
      <c r="CA158" t="s">
        <v>194</v>
      </c>
      <c r="CB158" t="s">
        <v>194</v>
      </c>
      <c r="CC158" t="s">
        <v>264</v>
      </c>
      <c r="CD158" t="s">
        <v>265</v>
      </c>
      <c r="CE158" t="s">
        <v>266</v>
      </c>
      <c r="CF158" t="s">
        <v>215</v>
      </c>
      <c r="CH158" t="s">
        <v>214</v>
      </c>
      <c r="CI158" t="s">
        <v>214</v>
      </c>
      <c r="CJ158" t="s">
        <v>214</v>
      </c>
      <c r="CP158" t="s">
        <v>214</v>
      </c>
      <c r="CS158" t="s">
        <v>216</v>
      </c>
      <c r="CV158" t="s">
        <v>214</v>
      </c>
      <c r="CW158" t="s">
        <v>214</v>
      </c>
      <c r="CX158" t="s">
        <v>217</v>
      </c>
      <c r="CY158" t="s">
        <v>214</v>
      </c>
      <c r="DA158" t="s">
        <v>218</v>
      </c>
    </row>
    <row r="159" spans="1:105" x14ac:dyDescent="0.3">
      <c r="A159">
        <v>1228038</v>
      </c>
      <c r="B159">
        <v>616282</v>
      </c>
      <c r="C159" t="str">
        <f>"110621502137"</f>
        <v>110621502137</v>
      </c>
      <c r="D159" t="s">
        <v>706</v>
      </c>
      <c r="E159" t="s">
        <v>707</v>
      </c>
      <c r="F159" t="s">
        <v>708</v>
      </c>
      <c r="G159" s="1">
        <v>40715</v>
      </c>
      <c r="I159" t="s">
        <v>187</v>
      </c>
      <c r="J159" t="s">
        <v>188</v>
      </c>
      <c r="K159" t="s">
        <v>189</v>
      </c>
      <c r="Y159" t="str">
        <f>"2017-08-21T00:00:00"</f>
        <v>2017-08-21T00:00:00</v>
      </c>
      <c r="Z159" t="str">
        <f>"№27"</f>
        <v>№27</v>
      </c>
      <c r="AA159" t="s">
        <v>224</v>
      </c>
      <c r="AC159" t="s">
        <v>225</v>
      </c>
      <c r="AD159" t="s">
        <v>261</v>
      </c>
      <c r="AE159" t="s">
        <v>243</v>
      </c>
      <c r="AF159" t="s">
        <v>194</v>
      </c>
      <c r="AH159" t="s">
        <v>195</v>
      </c>
      <c r="AI159">
        <v>2</v>
      </c>
      <c r="AJ159" t="s">
        <v>196</v>
      </c>
      <c r="AK159" t="s">
        <v>194</v>
      </c>
      <c r="AL159" t="s">
        <v>197</v>
      </c>
      <c r="AM159" t="s">
        <v>198</v>
      </c>
      <c r="AR159" t="s">
        <v>194</v>
      </c>
      <c r="AS159" t="s">
        <v>199</v>
      </c>
      <c r="AU159" t="s">
        <v>197</v>
      </c>
      <c r="AZ159" t="s">
        <v>194</v>
      </c>
      <c r="BA159" t="s">
        <v>200</v>
      </c>
      <c r="BB159" t="s">
        <v>201</v>
      </c>
      <c r="BD159" t="s">
        <v>200</v>
      </c>
      <c r="BE159" t="s">
        <v>202</v>
      </c>
      <c r="BF159" t="s">
        <v>197</v>
      </c>
      <c r="BG159" t="s">
        <v>230</v>
      </c>
      <c r="BH159" t="s">
        <v>400</v>
      </c>
      <c r="BJ159" t="s">
        <v>205</v>
      </c>
      <c r="BK159" t="s">
        <v>206</v>
      </c>
      <c r="BL159" t="s">
        <v>194</v>
      </c>
      <c r="BO159" t="s">
        <v>200</v>
      </c>
      <c r="BP159" t="s">
        <v>200</v>
      </c>
      <c r="BR159" t="s">
        <v>246</v>
      </c>
      <c r="BS159" t="s">
        <v>208</v>
      </c>
      <c r="BT159" t="s">
        <v>197</v>
      </c>
      <c r="BV159" t="s">
        <v>233</v>
      </c>
      <c r="CA159" t="s">
        <v>194</v>
      </c>
      <c r="CB159" t="s">
        <v>194</v>
      </c>
      <c r="CC159" t="s">
        <v>264</v>
      </c>
      <c r="CD159" t="s">
        <v>265</v>
      </c>
      <c r="CE159" t="s">
        <v>266</v>
      </c>
      <c r="CF159" t="s">
        <v>215</v>
      </c>
      <c r="CH159" t="s">
        <v>214</v>
      </c>
      <c r="CI159" t="s">
        <v>214</v>
      </c>
      <c r="CJ159" t="s">
        <v>214</v>
      </c>
      <c r="CP159" t="s">
        <v>214</v>
      </c>
      <c r="CS159" t="s">
        <v>216</v>
      </c>
      <c r="CV159" t="s">
        <v>214</v>
      </c>
      <c r="CW159" t="s">
        <v>214</v>
      </c>
      <c r="CX159" t="s">
        <v>217</v>
      </c>
      <c r="CY159" t="s">
        <v>214</v>
      </c>
      <c r="DA159" t="s">
        <v>218</v>
      </c>
    </row>
    <row r="160" spans="1:105" x14ac:dyDescent="0.3">
      <c r="A160">
        <v>1229557</v>
      </c>
      <c r="B160">
        <v>898514</v>
      </c>
      <c r="C160" t="str">
        <f>"120812501575"</f>
        <v>120812501575</v>
      </c>
      <c r="D160" t="s">
        <v>709</v>
      </c>
      <c r="E160" t="s">
        <v>710</v>
      </c>
      <c r="F160" t="s">
        <v>711</v>
      </c>
      <c r="G160" s="1">
        <v>41133</v>
      </c>
      <c r="I160" t="s">
        <v>187</v>
      </c>
      <c r="J160" t="s">
        <v>188</v>
      </c>
      <c r="K160" t="s">
        <v>189</v>
      </c>
      <c r="Y160" t="str">
        <f>"2018-08-06T00:00:00"</f>
        <v>2018-08-06T00:00:00</v>
      </c>
      <c r="Z160" t="str">
        <f>"№19"</f>
        <v>№19</v>
      </c>
      <c r="AA160" t="s">
        <v>224</v>
      </c>
      <c r="AC160" t="s">
        <v>191</v>
      </c>
      <c r="AD160" t="s">
        <v>285</v>
      </c>
      <c r="AE160" t="s">
        <v>193</v>
      </c>
      <c r="AF160" t="s">
        <v>194</v>
      </c>
      <c r="AH160" t="s">
        <v>195</v>
      </c>
      <c r="AI160">
        <v>1</v>
      </c>
      <c r="AJ160" t="s">
        <v>196</v>
      </c>
      <c r="AK160" t="s">
        <v>194</v>
      </c>
      <c r="AL160" t="s">
        <v>197</v>
      </c>
      <c r="AM160" t="s">
        <v>198</v>
      </c>
      <c r="AR160" t="s">
        <v>194</v>
      </c>
      <c r="AS160" t="s">
        <v>199</v>
      </c>
      <c r="AU160" t="s">
        <v>197</v>
      </c>
      <c r="AZ160" t="s">
        <v>194</v>
      </c>
      <c r="BA160" t="s">
        <v>200</v>
      </c>
      <c r="BB160" t="s">
        <v>201</v>
      </c>
      <c r="BD160" t="s">
        <v>200</v>
      </c>
      <c r="BE160" t="s">
        <v>244</v>
      </c>
      <c r="BF160" t="s">
        <v>197</v>
      </c>
      <c r="BG160" t="s">
        <v>269</v>
      </c>
      <c r="BH160" t="s">
        <v>432</v>
      </c>
      <c r="BJ160" t="s">
        <v>205</v>
      </c>
      <c r="BK160" t="s">
        <v>206</v>
      </c>
      <c r="BL160" t="s">
        <v>194</v>
      </c>
      <c r="BO160" t="s">
        <v>216</v>
      </c>
      <c r="BP160" t="s">
        <v>216</v>
      </c>
      <c r="BQ160" t="s">
        <v>286</v>
      </c>
      <c r="BR160" t="s">
        <v>232</v>
      </c>
      <c r="BT160" t="s">
        <v>197</v>
      </c>
      <c r="BV160" t="s">
        <v>233</v>
      </c>
      <c r="CA160" t="s">
        <v>194</v>
      </c>
      <c r="CB160" t="s">
        <v>214</v>
      </c>
      <c r="CF160" t="s">
        <v>215</v>
      </c>
      <c r="CH160" t="s">
        <v>214</v>
      </c>
      <c r="CI160" t="s">
        <v>214</v>
      </c>
      <c r="CJ160" t="s">
        <v>214</v>
      </c>
      <c r="CP160" t="s">
        <v>214</v>
      </c>
      <c r="CS160" t="s">
        <v>216</v>
      </c>
      <c r="CV160" t="s">
        <v>214</v>
      </c>
      <c r="CW160" t="s">
        <v>214</v>
      </c>
      <c r="CX160" t="s">
        <v>217</v>
      </c>
      <c r="CY160" t="s">
        <v>214</v>
      </c>
      <c r="DA160" t="s">
        <v>218</v>
      </c>
    </row>
    <row r="161" spans="1:105" x14ac:dyDescent="0.3">
      <c r="A161">
        <v>1229572</v>
      </c>
      <c r="B161">
        <v>898515</v>
      </c>
      <c r="C161" t="str">
        <f>"120515604600"</f>
        <v>120515604600</v>
      </c>
      <c r="D161" t="s">
        <v>712</v>
      </c>
      <c r="E161" t="s">
        <v>713</v>
      </c>
      <c r="F161" t="s">
        <v>714</v>
      </c>
      <c r="G161" s="1">
        <v>41044</v>
      </c>
      <c r="I161" t="s">
        <v>222</v>
      </c>
      <c r="J161" t="s">
        <v>188</v>
      </c>
      <c r="K161" t="s">
        <v>189</v>
      </c>
      <c r="Y161" t="str">
        <f>"2018-09-01T00:00:00"</f>
        <v>2018-09-01T00:00:00</v>
      </c>
      <c r="Z161" t="str">
        <f>"№26"</f>
        <v>№26</v>
      </c>
      <c r="AA161" t="s">
        <v>224</v>
      </c>
      <c r="AC161" t="s">
        <v>225</v>
      </c>
      <c r="AD161" t="s">
        <v>615</v>
      </c>
      <c r="AE161" t="s">
        <v>193</v>
      </c>
      <c r="AF161" t="s">
        <v>194</v>
      </c>
      <c r="AH161" t="s">
        <v>195</v>
      </c>
      <c r="AI161">
        <v>1</v>
      </c>
      <c r="AJ161" t="s">
        <v>196</v>
      </c>
      <c r="AK161" t="s">
        <v>194</v>
      </c>
      <c r="AL161" t="s">
        <v>197</v>
      </c>
      <c r="AM161" t="s">
        <v>198</v>
      </c>
      <c r="AR161" t="s">
        <v>194</v>
      </c>
      <c r="AS161" t="s">
        <v>199</v>
      </c>
      <c r="AU161" t="s">
        <v>197</v>
      </c>
      <c r="AZ161" t="s">
        <v>194</v>
      </c>
      <c r="BA161" t="s">
        <v>200</v>
      </c>
      <c r="BB161" t="s">
        <v>201</v>
      </c>
      <c r="BD161" t="s">
        <v>200</v>
      </c>
      <c r="BE161" t="s">
        <v>229</v>
      </c>
      <c r="BF161" t="s">
        <v>197</v>
      </c>
      <c r="BG161" t="s">
        <v>230</v>
      </c>
      <c r="BH161" t="s">
        <v>231</v>
      </c>
      <c r="BJ161" t="s">
        <v>205</v>
      </c>
      <c r="BK161" t="s">
        <v>206</v>
      </c>
      <c r="BL161" t="s">
        <v>194</v>
      </c>
      <c r="BO161" t="s">
        <v>200</v>
      </c>
      <c r="BP161" t="s">
        <v>200</v>
      </c>
      <c r="BQ161" s="3">
        <v>45566</v>
      </c>
      <c r="BR161" t="s">
        <v>232</v>
      </c>
      <c r="BT161" t="s">
        <v>197</v>
      </c>
      <c r="BV161" t="s">
        <v>715</v>
      </c>
      <c r="BW161" t="s">
        <v>248</v>
      </c>
      <c r="BX161" t="s">
        <v>716</v>
      </c>
      <c r="BY161" t="s">
        <v>561</v>
      </c>
      <c r="BZ161" t="s">
        <v>717</v>
      </c>
      <c r="CA161" t="s">
        <v>194</v>
      </c>
      <c r="CB161" t="s">
        <v>194</v>
      </c>
      <c r="CC161" t="s">
        <v>264</v>
      </c>
      <c r="CD161" t="s">
        <v>265</v>
      </c>
      <c r="CE161" t="s">
        <v>266</v>
      </c>
      <c r="CF161" t="s">
        <v>215</v>
      </c>
      <c r="CH161" t="s">
        <v>214</v>
      </c>
      <c r="CI161" t="s">
        <v>214</v>
      </c>
      <c r="CJ161" t="s">
        <v>214</v>
      </c>
      <c r="CP161" t="s">
        <v>214</v>
      </c>
      <c r="CS161" t="s">
        <v>216</v>
      </c>
      <c r="CV161" t="s">
        <v>214</v>
      </c>
      <c r="CW161" t="s">
        <v>214</v>
      </c>
      <c r="CX161" t="s">
        <v>217</v>
      </c>
      <c r="CY161" t="s">
        <v>214</v>
      </c>
      <c r="DA161" t="s">
        <v>218</v>
      </c>
    </row>
    <row r="162" spans="1:105" x14ac:dyDescent="0.3">
      <c r="A162">
        <v>1229584</v>
      </c>
      <c r="B162">
        <v>933935</v>
      </c>
      <c r="C162" t="str">
        <f>"120911505060"</f>
        <v>120911505060</v>
      </c>
      <c r="D162" t="s">
        <v>718</v>
      </c>
      <c r="E162" t="s">
        <v>719</v>
      </c>
      <c r="F162" t="s">
        <v>720</v>
      </c>
      <c r="G162" s="1">
        <v>41163</v>
      </c>
      <c r="I162" t="s">
        <v>187</v>
      </c>
      <c r="J162" t="s">
        <v>188</v>
      </c>
      <c r="K162" t="s">
        <v>223</v>
      </c>
      <c r="Y162" t="str">
        <f>"2018-09-01T00:00:00"</f>
        <v>2018-09-01T00:00:00</v>
      </c>
      <c r="Z162" t="str">
        <f>"№26"</f>
        <v>№26</v>
      </c>
      <c r="AA162" t="s">
        <v>224</v>
      </c>
      <c r="AC162" t="s">
        <v>191</v>
      </c>
      <c r="AD162" t="s">
        <v>615</v>
      </c>
      <c r="AE162" t="s">
        <v>227</v>
      </c>
      <c r="AF162" t="s">
        <v>194</v>
      </c>
      <c r="AH162" t="s">
        <v>195</v>
      </c>
      <c r="AI162">
        <v>1</v>
      </c>
      <c r="AJ162" t="s">
        <v>196</v>
      </c>
      <c r="AK162" t="s">
        <v>194</v>
      </c>
      <c r="AL162" t="s">
        <v>197</v>
      </c>
      <c r="AM162" t="s">
        <v>228</v>
      </c>
      <c r="AR162" t="s">
        <v>194</v>
      </c>
      <c r="AS162" t="s">
        <v>199</v>
      </c>
      <c r="AU162" t="s">
        <v>197</v>
      </c>
      <c r="AZ162" t="s">
        <v>194</v>
      </c>
      <c r="BA162" t="s">
        <v>200</v>
      </c>
      <c r="BB162" t="s">
        <v>201</v>
      </c>
      <c r="BD162" t="s">
        <v>200</v>
      </c>
      <c r="BE162" t="s">
        <v>244</v>
      </c>
      <c r="BF162" t="s">
        <v>197</v>
      </c>
      <c r="BG162" t="s">
        <v>238</v>
      </c>
      <c r="BH162">
        <v>5</v>
      </c>
      <c r="BJ162" t="s">
        <v>205</v>
      </c>
      <c r="BK162" t="s">
        <v>206</v>
      </c>
      <c r="BL162" t="s">
        <v>194</v>
      </c>
      <c r="BO162" t="s">
        <v>216</v>
      </c>
      <c r="BP162" t="s">
        <v>216</v>
      </c>
      <c r="BQ162" s="2">
        <v>44805</v>
      </c>
      <c r="BR162" t="s">
        <v>232</v>
      </c>
      <c r="BT162" t="s">
        <v>197</v>
      </c>
      <c r="BV162" t="s">
        <v>233</v>
      </c>
      <c r="CA162" t="s">
        <v>194</v>
      </c>
      <c r="CB162" t="s">
        <v>194</v>
      </c>
      <c r="CC162" t="s">
        <v>264</v>
      </c>
      <c r="CD162" t="s">
        <v>265</v>
      </c>
      <c r="CE162" t="s">
        <v>266</v>
      </c>
      <c r="CF162" t="s">
        <v>215</v>
      </c>
      <c r="CH162" t="s">
        <v>214</v>
      </c>
      <c r="CI162" t="s">
        <v>214</v>
      </c>
      <c r="CJ162" t="s">
        <v>214</v>
      </c>
      <c r="CP162" t="s">
        <v>214</v>
      </c>
      <c r="CS162" t="s">
        <v>216</v>
      </c>
      <c r="CV162" t="s">
        <v>214</v>
      </c>
      <c r="CW162" t="s">
        <v>214</v>
      </c>
      <c r="CX162" t="s">
        <v>217</v>
      </c>
      <c r="CY162" t="s">
        <v>214</v>
      </c>
      <c r="DA162" t="s">
        <v>218</v>
      </c>
    </row>
    <row r="163" spans="1:105" x14ac:dyDescent="0.3">
      <c r="A163">
        <v>1228033</v>
      </c>
      <c r="B163">
        <v>933053</v>
      </c>
      <c r="C163" t="str">
        <f>"111016602385"</f>
        <v>111016602385</v>
      </c>
      <c r="D163" t="s">
        <v>721</v>
      </c>
      <c r="E163" t="s">
        <v>722</v>
      </c>
      <c r="F163" t="s">
        <v>336</v>
      </c>
      <c r="G163" s="1">
        <v>40832</v>
      </c>
      <c r="I163" t="s">
        <v>222</v>
      </c>
      <c r="J163" t="s">
        <v>188</v>
      </c>
      <c r="K163" t="s">
        <v>223</v>
      </c>
      <c r="Y163" t="str">
        <f>"2018-08-15T00:00:00"</f>
        <v>2018-08-15T00:00:00</v>
      </c>
      <c r="Z163" t="str">
        <f>"№20"</f>
        <v>№20</v>
      </c>
      <c r="AA163" t="s">
        <v>224</v>
      </c>
      <c r="AC163" t="s">
        <v>191</v>
      </c>
      <c r="AD163" t="s">
        <v>285</v>
      </c>
      <c r="AE163" t="s">
        <v>193</v>
      </c>
      <c r="AF163" t="s">
        <v>194</v>
      </c>
      <c r="AH163" t="s">
        <v>195</v>
      </c>
      <c r="AI163">
        <v>2</v>
      </c>
      <c r="AJ163" t="s">
        <v>196</v>
      </c>
      <c r="AK163" t="s">
        <v>194</v>
      </c>
      <c r="AL163" t="s">
        <v>197</v>
      </c>
      <c r="AM163" t="s">
        <v>198</v>
      </c>
      <c r="AR163" t="s">
        <v>194</v>
      </c>
      <c r="AS163" t="s">
        <v>199</v>
      </c>
      <c r="AU163" t="s">
        <v>197</v>
      </c>
      <c r="AZ163" t="s">
        <v>194</v>
      </c>
      <c r="BA163" t="s">
        <v>200</v>
      </c>
      <c r="BB163" t="s">
        <v>201</v>
      </c>
      <c r="BD163" t="s">
        <v>200</v>
      </c>
      <c r="BE163" t="s">
        <v>244</v>
      </c>
      <c r="BF163" t="s">
        <v>197</v>
      </c>
      <c r="BG163" t="s">
        <v>269</v>
      </c>
      <c r="BH163" t="s">
        <v>432</v>
      </c>
      <c r="BJ163" t="s">
        <v>205</v>
      </c>
      <c r="BK163" t="s">
        <v>206</v>
      </c>
      <c r="BL163" t="s">
        <v>194</v>
      </c>
      <c r="BO163" t="s">
        <v>216</v>
      </c>
      <c r="BP163" t="s">
        <v>216</v>
      </c>
      <c r="BQ163" t="s">
        <v>286</v>
      </c>
      <c r="BR163" t="s">
        <v>232</v>
      </c>
      <c r="BT163" t="s">
        <v>197</v>
      </c>
      <c r="BV163" t="s">
        <v>233</v>
      </c>
      <c r="CA163" t="s">
        <v>194</v>
      </c>
      <c r="CB163" t="s">
        <v>214</v>
      </c>
      <c r="CF163" t="s">
        <v>215</v>
      </c>
      <c r="CH163" t="s">
        <v>214</v>
      </c>
      <c r="CI163" t="s">
        <v>214</v>
      </c>
      <c r="CJ163" t="s">
        <v>214</v>
      </c>
      <c r="CP163" t="s">
        <v>214</v>
      </c>
      <c r="CS163" t="s">
        <v>216</v>
      </c>
      <c r="CV163" t="s">
        <v>214</v>
      </c>
      <c r="CW163" t="s">
        <v>214</v>
      </c>
      <c r="CX163" t="s">
        <v>217</v>
      </c>
      <c r="CY163" t="s">
        <v>214</v>
      </c>
      <c r="DA163" t="s">
        <v>218</v>
      </c>
    </row>
    <row r="164" spans="1:105" x14ac:dyDescent="0.3">
      <c r="A164">
        <v>1228030</v>
      </c>
      <c r="B164">
        <v>933050</v>
      </c>
      <c r="C164" t="str">
        <f>"111025605286"</f>
        <v>111025605286</v>
      </c>
      <c r="D164" t="s">
        <v>525</v>
      </c>
      <c r="E164" t="s">
        <v>723</v>
      </c>
      <c r="F164" t="s">
        <v>724</v>
      </c>
      <c r="G164" s="1">
        <v>40841</v>
      </c>
      <c r="I164" t="s">
        <v>222</v>
      </c>
      <c r="J164" t="s">
        <v>188</v>
      </c>
      <c r="K164" t="s">
        <v>189</v>
      </c>
      <c r="Y164" t="str">
        <f>"2018-08-15T00:00:00"</f>
        <v>2018-08-15T00:00:00</v>
      </c>
      <c r="Z164" t="str">
        <f>"№20"</f>
        <v>№20</v>
      </c>
      <c r="AA164" t="s">
        <v>224</v>
      </c>
      <c r="AC164" t="s">
        <v>191</v>
      </c>
      <c r="AD164" t="s">
        <v>285</v>
      </c>
      <c r="AE164" t="s">
        <v>243</v>
      </c>
      <c r="AF164" t="s">
        <v>194</v>
      </c>
      <c r="AH164" t="s">
        <v>195</v>
      </c>
      <c r="AI164">
        <v>2</v>
      </c>
      <c r="AJ164" t="s">
        <v>196</v>
      </c>
      <c r="AK164" t="s">
        <v>194</v>
      </c>
      <c r="AL164" t="s">
        <v>197</v>
      </c>
      <c r="AM164" t="s">
        <v>198</v>
      </c>
      <c r="AR164" t="s">
        <v>194</v>
      </c>
      <c r="AS164" t="s">
        <v>199</v>
      </c>
      <c r="AU164" t="s">
        <v>197</v>
      </c>
      <c r="AZ164" t="s">
        <v>194</v>
      </c>
      <c r="BA164" t="s">
        <v>200</v>
      </c>
      <c r="BB164" t="s">
        <v>201</v>
      </c>
      <c r="BD164" t="s">
        <v>200</v>
      </c>
      <c r="BE164" t="s">
        <v>229</v>
      </c>
      <c r="BF164" t="s">
        <v>197</v>
      </c>
      <c r="BG164" t="s">
        <v>262</v>
      </c>
      <c r="BH164" t="s">
        <v>263</v>
      </c>
      <c r="BJ164" t="s">
        <v>205</v>
      </c>
      <c r="BK164" t="s">
        <v>206</v>
      </c>
      <c r="BL164" t="s">
        <v>194</v>
      </c>
      <c r="BO164" t="s">
        <v>200</v>
      </c>
      <c r="BP164" t="s">
        <v>200</v>
      </c>
      <c r="BQ164" t="s">
        <v>286</v>
      </c>
      <c r="BR164" t="s">
        <v>232</v>
      </c>
      <c r="BT164" t="s">
        <v>197</v>
      </c>
      <c r="BV164" t="s">
        <v>233</v>
      </c>
      <c r="CA164" t="s">
        <v>194</v>
      </c>
      <c r="CB164" t="s">
        <v>214</v>
      </c>
      <c r="CF164" t="s">
        <v>215</v>
      </c>
      <c r="CH164" t="s">
        <v>214</v>
      </c>
      <c r="CI164" t="s">
        <v>214</v>
      </c>
      <c r="CJ164" t="s">
        <v>214</v>
      </c>
      <c r="CP164" t="s">
        <v>214</v>
      </c>
      <c r="CS164" t="s">
        <v>216</v>
      </c>
      <c r="CV164" t="s">
        <v>214</v>
      </c>
      <c r="CW164" t="s">
        <v>214</v>
      </c>
      <c r="CX164" t="s">
        <v>217</v>
      </c>
      <c r="CY164" t="s">
        <v>214</v>
      </c>
      <c r="DA164" t="s">
        <v>218</v>
      </c>
    </row>
    <row r="165" spans="1:105" x14ac:dyDescent="0.3">
      <c r="A165">
        <v>1229685</v>
      </c>
      <c r="B165">
        <v>933990</v>
      </c>
      <c r="C165" t="str">
        <f>"110429604949"</f>
        <v>110429604949</v>
      </c>
      <c r="D165" t="s">
        <v>725</v>
      </c>
      <c r="E165" t="s">
        <v>309</v>
      </c>
      <c r="F165" t="s">
        <v>336</v>
      </c>
      <c r="G165" s="1">
        <v>40662</v>
      </c>
      <c r="I165" t="s">
        <v>222</v>
      </c>
      <c r="J165" t="s">
        <v>188</v>
      </c>
      <c r="K165" t="s">
        <v>382</v>
      </c>
      <c r="Y165" t="str">
        <f>"2016-09-01T00:00:00"</f>
        <v>2016-09-01T00:00:00</v>
      </c>
      <c r="Z165" t="str">
        <f>"№45"</f>
        <v>№45</v>
      </c>
      <c r="AA165" t="s">
        <v>314</v>
      </c>
      <c r="AC165" t="s">
        <v>191</v>
      </c>
      <c r="AD165" t="s">
        <v>261</v>
      </c>
      <c r="AE165" t="s">
        <v>227</v>
      </c>
      <c r="AF165" t="s">
        <v>194</v>
      </c>
      <c r="AH165" t="s">
        <v>195</v>
      </c>
      <c r="AI165">
        <v>2</v>
      </c>
      <c r="AJ165" t="s">
        <v>196</v>
      </c>
      <c r="AK165" t="s">
        <v>194</v>
      </c>
      <c r="AL165" t="s">
        <v>197</v>
      </c>
      <c r="AM165" t="s">
        <v>228</v>
      </c>
      <c r="AR165" t="s">
        <v>194</v>
      </c>
      <c r="AS165" t="s">
        <v>199</v>
      </c>
      <c r="AU165" t="s">
        <v>197</v>
      </c>
      <c r="AZ165" t="s">
        <v>194</v>
      </c>
      <c r="BA165" t="s">
        <v>200</v>
      </c>
      <c r="BB165" t="s">
        <v>201</v>
      </c>
      <c r="BD165" t="s">
        <v>200</v>
      </c>
      <c r="BE165" t="s">
        <v>229</v>
      </c>
      <c r="BF165" t="s">
        <v>197</v>
      </c>
      <c r="BG165" t="s">
        <v>238</v>
      </c>
      <c r="BH165">
        <v>4</v>
      </c>
      <c r="BJ165" t="s">
        <v>205</v>
      </c>
      <c r="BK165" t="s">
        <v>206</v>
      </c>
      <c r="BL165" t="s">
        <v>194</v>
      </c>
      <c r="BO165" t="s">
        <v>216</v>
      </c>
      <c r="BP165" t="s">
        <v>216</v>
      </c>
      <c r="BQ165" t="s">
        <v>271</v>
      </c>
      <c r="BR165" t="s">
        <v>232</v>
      </c>
      <c r="BT165" t="s">
        <v>197</v>
      </c>
      <c r="BV165" t="s">
        <v>233</v>
      </c>
      <c r="CA165" t="s">
        <v>194</v>
      </c>
      <c r="CB165" t="s">
        <v>194</v>
      </c>
      <c r="CC165" t="s">
        <v>264</v>
      </c>
      <c r="CD165" t="s">
        <v>265</v>
      </c>
      <c r="CE165" t="s">
        <v>266</v>
      </c>
      <c r="CF165" t="s">
        <v>215</v>
      </c>
      <c r="CH165" t="s">
        <v>214</v>
      </c>
      <c r="CI165" t="s">
        <v>214</v>
      </c>
      <c r="CJ165" t="s">
        <v>214</v>
      </c>
      <c r="CP165" t="s">
        <v>214</v>
      </c>
      <c r="CS165" t="s">
        <v>216</v>
      </c>
      <c r="CV165" t="s">
        <v>214</v>
      </c>
      <c r="CW165" t="s">
        <v>214</v>
      </c>
      <c r="CX165" t="s">
        <v>217</v>
      </c>
      <c r="CY165" t="s">
        <v>214</v>
      </c>
      <c r="DA165" t="s">
        <v>218</v>
      </c>
    </row>
    <row r="166" spans="1:105" x14ac:dyDescent="0.3">
      <c r="A166">
        <v>1229701</v>
      </c>
      <c r="B166">
        <v>934001</v>
      </c>
      <c r="C166" t="str">
        <f>"110328503043"</f>
        <v>110328503043</v>
      </c>
      <c r="D166" t="s">
        <v>726</v>
      </c>
      <c r="E166" t="s">
        <v>727</v>
      </c>
      <c r="F166" t="s">
        <v>381</v>
      </c>
      <c r="G166" s="1">
        <v>40630</v>
      </c>
      <c r="I166" t="s">
        <v>187</v>
      </c>
      <c r="J166" t="s">
        <v>188</v>
      </c>
      <c r="K166" t="s">
        <v>486</v>
      </c>
      <c r="Y166" t="str">
        <f>"2016-09-01T00:00:00"</f>
        <v>2016-09-01T00:00:00</v>
      </c>
      <c r="Z166" t="str">
        <f>"№45"</f>
        <v>№45</v>
      </c>
      <c r="AA166" t="s">
        <v>314</v>
      </c>
      <c r="AC166" t="s">
        <v>237</v>
      </c>
      <c r="AD166" t="s">
        <v>261</v>
      </c>
      <c r="AE166" t="s">
        <v>227</v>
      </c>
      <c r="AF166" t="s">
        <v>194</v>
      </c>
      <c r="AH166" t="s">
        <v>195</v>
      </c>
      <c r="AI166">
        <v>1</v>
      </c>
      <c r="AJ166" t="s">
        <v>196</v>
      </c>
      <c r="AK166" t="s">
        <v>194</v>
      </c>
      <c r="AL166" t="s">
        <v>197</v>
      </c>
      <c r="AM166" t="s">
        <v>228</v>
      </c>
      <c r="AR166" t="s">
        <v>194</v>
      </c>
      <c r="AS166" t="s">
        <v>199</v>
      </c>
      <c r="AU166" t="s">
        <v>197</v>
      </c>
      <c r="AZ166" t="s">
        <v>194</v>
      </c>
      <c r="BA166" t="s">
        <v>200</v>
      </c>
      <c r="BB166" t="s">
        <v>201</v>
      </c>
      <c r="BD166" t="s">
        <v>200</v>
      </c>
      <c r="BE166" t="s">
        <v>229</v>
      </c>
      <c r="BF166" t="s">
        <v>197</v>
      </c>
      <c r="BG166" t="s">
        <v>230</v>
      </c>
      <c r="BH166" t="s">
        <v>263</v>
      </c>
      <c r="BJ166" t="s">
        <v>205</v>
      </c>
      <c r="BK166" t="s">
        <v>206</v>
      </c>
      <c r="BL166" t="s">
        <v>194</v>
      </c>
      <c r="BO166" t="s">
        <v>216</v>
      </c>
      <c r="BP166" t="s">
        <v>216</v>
      </c>
      <c r="BR166" t="s">
        <v>246</v>
      </c>
      <c r="BS166" t="s">
        <v>208</v>
      </c>
      <c r="BT166" t="s">
        <v>197</v>
      </c>
      <c r="BV166" t="s">
        <v>415</v>
      </c>
      <c r="BW166" t="s">
        <v>416</v>
      </c>
      <c r="BX166" t="s">
        <v>211</v>
      </c>
      <c r="BY166" t="s">
        <v>212</v>
      </c>
      <c r="BZ166" t="s">
        <v>728</v>
      </c>
      <c r="CA166" t="s">
        <v>194</v>
      </c>
      <c r="CB166" t="s">
        <v>194</v>
      </c>
      <c r="CC166" t="s">
        <v>264</v>
      </c>
      <c r="CD166" t="s">
        <v>265</v>
      </c>
      <c r="CE166" t="s">
        <v>266</v>
      </c>
      <c r="CF166" t="s">
        <v>215</v>
      </c>
      <c r="CH166" t="s">
        <v>214</v>
      </c>
      <c r="CI166" t="s">
        <v>214</v>
      </c>
      <c r="CJ166" t="s">
        <v>214</v>
      </c>
      <c r="CP166" t="s">
        <v>214</v>
      </c>
      <c r="CS166" t="s">
        <v>216</v>
      </c>
      <c r="CV166" t="s">
        <v>214</v>
      </c>
      <c r="CW166" t="s">
        <v>214</v>
      </c>
      <c r="CX166" t="s">
        <v>217</v>
      </c>
      <c r="CY166" t="s">
        <v>214</v>
      </c>
      <c r="DA166" t="s">
        <v>218</v>
      </c>
    </row>
    <row r="167" spans="1:105" x14ac:dyDescent="0.3">
      <c r="A167">
        <v>1229713</v>
      </c>
      <c r="B167">
        <v>934010</v>
      </c>
      <c r="C167" t="str">
        <f>"110424603735"</f>
        <v>110424603735</v>
      </c>
      <c r="D167" t="s">
        <v>239</v>
      </c>
      <c r="E167" t="s">
        <v>667</v>
      </c>
      <c r="F167" t="s">
        <v>347</v>
      </c>
      <c r="G167" s="1">
        <v>40657</v>
      </c>
      <c r="I167" t="s">
        <v>222</v>
      </c>
      <c r="J167" t="s">
        <v>188</v>
      </c>
      <c r="K167" t="s">
        <v>223</v>
      </c>
      <c r="Y167" t="str">
        <f>"2017-08-07T00:00:00"</f>
        <v>2017-08-07T00:00:00</v>
      </c>
      <c r="Z167" t="str">
        <f>"№25"</f>
        <v>№25</v>
      </c>
      <c r="AA167" t="s">
        <v>224</v>
      </c>
      <c r="AC167" t="s">
        <v>237</v>
      </c>
      <c r="AD167" t="s">
        <v>261</v>
      </c>
      <c r="AE167" t="s">
        <v>243</v>
      </c>
      <c r="AF167" t="s">
        <v>194</v>
      </c>
      <c r="AH167" t="s">
        <v>195</v>
      </c>
      <c r="AI167">
        <v>2</v>
      </c>
      <c r="AJ167" t="s">
        <v>196</v>
      </c>
      <c r="AK167" t="s">
        <v>194</v>
      </c>
      <c r="AL167" t="s">
        <v>197</v>
      </c>
      <c r="AM167" t="s">
        <v>198</v>
      </c>
      <c r="AQ167" t="str">
        <f>"2020-11-04T10:04:32"</f>
        <v>2020-11-04T10:04:32</v>
      </c>
      <c r="AR167" t="s">
        <v>194</v>
      </c>
      <c r="AS167" t="s">
        <v>199</v>
      </c>
      <c r="AU167" t="s">
        <v>197</v>
      </c>
      <c r="AZ167" t="s">
        <v>194</v>
      </c>
      <c r="BA167" t="s">
        <v>200</v>
      </c>
      <c r="BB167" t="s">
        <v>201</v>
      </c>
      <c r="BD167" t="s">
        <v>200</v>
      </c>
      <c r="BE167" t="s">
        <v>244</v>
      </c>
      <c r="BF167" t="s">
        <v>197</v>
      </c>
      <c r="BG167" t="s">
        <v>269</v>
      </c>
      <c r="BH167" t="s">
        <v>432</v>
      </c>
      <c r="BJ167" t="s">
        <v>205</v>
      </c>
      <c r="BK167" t="s">
        <v>206</v>
      </c>
      <c r="BL167" t="s">
        <v>214</v>
      </c>
      <c r="BO167" t="s">
        <v>200</v>
      </c>
      <c r="BP167" t="s">
        <v>200</v>
      </c>
      <c r="BR167" t="s">
        <v>232</v>
      </c>
      <c r="BT167" t="s">
        <v>197</v>
      </c>
      <c r="BV167" t="s">
        <v>233</v>
      </c>
      <c r="CA167" t="s">
        <v>194</v>
      </c>
      <c r="CB167" t="s">
        <v>214</v>
      </c>
      <c r="CF167" t="s">
        <v>215</v>
      </c>
      <c r="CH167" t="s">
        <v>214</v>
      </c>
      <c r="CI167" t="s">
        <v>214</v>
      </c>
      <c r="CJ167" t="s">
        <v>214</v>
      </c>
      <c r="CP167" t="s">
        <v>214</v>
      </c>
      <c r="CS167" t="s">
        <v>216</v>
      </c>
      <c r="CV167" t="s">
        <v>214</v>
      </c>
      <c r="CW167" t="s">
        <v>214</v>
      </c>
      <c r="CX167" t="s">
        <v>217</v>
      </c>
      <c r="CY167" t="s">
        <v>214</v>
      </c>
      <c r="DA167" t="s">
        <v>218</v>
      </c>
    </row>
    <row r="168" spans="1:105" x14ac:dyDescent="0.3">
      <c r="A168">
        <v>1229728</v>
      </c>
      <c r="B168">
        <v>934016</v>
      </c>
      <c r="C168" t="str">
        <f>"100623652317"</f>
        <v>100623652317</v>
      </c>
      <c r="D168" t="s">
        <v>729</v>
      </c>
      <c r="E168" t="s">
        <v>730</v>
      </c>
      <c r="F168" t="s">
        <v>665</v>
      </c>
      <c r="G168" s="1">
        <v>40352</v>
      </c>
      <c r="I168" t="s">
        <v>222</v>
      </c>
      <c r="J168" t="s">
        <v>188</v>
      </c>
      <c r="K168" t="s">
        <v>189</v>
      </c>
      <c r="Y168" t="str">
        <f>"2016-09-01T00:00:00"</f>
        <v>2016-09-01T00:00:00</v>
      </c>
      <c r="Z168" t="str">
        <f>"№45"</f>
        <v>№45</v>
      </c>
      <c r="AA168" t="s">
        <v>314</v>
      </c>
      <c r="AC168" t="s">
        <v>237</v>
      </c>
      <c r="AD168" t="s">
        <v>261</v>
      </c>
      <c r="AE168" t="s">
        <v>227</v>
      </c>
      <c r="AF168" t="s">
        <v>194</v>
      </c>
      <c r="AH168" t="s">
        <v>195</v>
      </c>
      <c r="AI168">
        <v>2</v>
      </c>
      <c r="AJ168" t="s">
        <v>196</v>
      </c>
      <c r="AK168" t="s">
        <v>194</v>
      </c>
      <c r="AL168" t="s">
        <v>197</v>
      </c>
      <c r="AM168" t="s">
        <v>228</v>
      </c>
      <c r="AR168" t="s">
        <v>194</v>
      </c>
      <c r="AS168" t="s">
        <v>199</v>
      </c>
      <c r="AU168" t="s">
        <v>197</v>
      </c>
      <c r="AZ168" t="s">
        <v>194</v>
      </c>
      <c r="BA168" t="s">
        <v>200</v>
      </c>
      <c r="BB168" t="s">
        <v>201</v>
      </c>
      <c r="BD168" t="s">
        <v>200</v>
      </c>
      <c r="BE168" t="s">
        <v>244</v>
      </c>
      <c r="BF168" t="s">
        <v>197</v>
      </c>
      <c r="BG168" t="s">
        <v>238</v>
      </c>
      <c r="BH168">
        <v>5</v>
      </c>
      <c r="BJ168" t="s">
        <v>205</v>
      </c>
      <c r="BK168" t="s">
        <v>206</v>
      </c>
      <c r="BL168" t="s">
        <v>194</v>
      </c>
      <c r="BO168" t="s">
        <v>216</v>
      </c>
      <c r="BP168" t="s">
        <v>216</v>
      </c>
      <c r="BQ168" t="s">
        <v>731</v>
      </c>
      <c r="BR168" t="s">
        <v>232</v>
      </c>
      <c r="BT168" t="s">
        <v>197</v>
      </c>
      <c r="BV168" t="s">
        <v>233</v>
      </c>
      <c r="CA168" t="s">
        <v>194</v>
      </c>
      <c r="CB168" t="s">
        <v>194</v>
      </c>
      <c r="CC168" t="s">
        <v>264</v>
      </c>
      <c r="CD168" t="s">
        <v>265</v>
      </c>
      <c r="CE168" t="s">
        <v>266</v>
      </c>
      <c r="CF168" t="s">
        <v>215</v>
      </c>
      <c r="CH168" t="s">
        <v>214</v>
      </c>
      <c r="CI168" t="s">
        <v>214</v>
      </c>
      <c r="CJ168" t="s">
        <v>214</v>
      </c>
      <c r="CP168" t="s">
        <v>214</v>
      </c>
      <c r="CS168" t="s">
        <v>216</v>
      </c>
      <c r="CV168" t="s">
        <v>214</v>
      </c>
      <c r="CW168" t="s">
        <v>214</v>
      </c>
      <c r="CX168" t="s">
        <v>217</v>
      </c>
      <c r="CY168" t="s">
        <v>214</v>
      </c>
      <c r="DA168" t="s">
        <v>218</v>
      </c>
    </row>
    <row r="169" spans="1:105" x14ac:dyDescent="0.3">
      <c r="A169">
        <v>1228006</v>
      </c>
      <c r="B169">
        <v>933031</v>
      </c>
      <c r="C169" t="str">
        <f>"120911603447"</f>
        <v>120911603447</v>
      </c>
      <c r="D169" t="s">
        <v>732</v>
      </c>
      <c r="E169" t="s">
        <v>220</v>
      </c>
      <c r="F169" t="s">
        <v>733</v>
      </c>
      <c r="G169" s="1">
        <v>41163</v>
      </c>
      <c r="I169" t="s">
        <v>222</v>
      </c>
      <c r="J169" t="s">
        <v>188</v>
      </c>
      <c r="K169" t="s">
        <v>298</v>
      </c>
      <c r="Y169" t="str">
        <f>"2018-09-01T00:00:00"</f>
        <v>2018-09-01T00:00:00</v>
      </c>
      <c r="Z169" t="str">
        <f>"№26"</f>
        <v>№26</v>
      </c>
      <c r="AA169" t="s">
        <v>224</v>
      </c>
      <c r="AC169" t="s">
        <v>225</v>
      </c>
      <c r="AD169" t="s">
        <v>615</v>
      </c>
      <c r="AE169" t="s">
        <v>413</v>
      </c>
      <c r="AF169" t="s">
        <v>194</v>
      </c>
      <c r="AH169" t="s">
        <v>195</v>
      </c>
      <c r="AI169">
        <v>1</v>
      </c>
      <c r="AJ169" t="s">
        <v>196</v>
      </c>
      <c r="AK169" t="s">
        <v>194</v>
      </c>
      <c r="AL169" t="s">
        <v>197</v>
      </c>
      <c r="AM169" t="s">
        <v>228</v>
      </c>
      <c r="AR169" t="s">
        <v>194</v>
      </c>
      <c r="AS169" t="s">
        <v>199</v>
      </c>
      <c r="AU169" t="s">
        <v>197</v>
      </c>
      <c r="AZ169" t="s">
        <v>194</v>
      </c>
      <c r="BA169" t="s">
        <v>200</v>
      </c>
      <c r="BB169" t="s">
        <v>201</v>
      </c>
      <c r="BD169" t="s">
        <v>200</v>
      </c>
      <c r="BE169" t="s">
        <v>244</v>
      </c>
      <c r="BF169" t="s">
        <v>197</v>
      </c>
      <c r="BG169" t="s">
        <v>238</v>
      </c>
      <c r="BH169">
        <v>5</v>
      </c>
      <c r="BJ169" t="s">
        <v>205</v>
      </c>
      <c r="BK169" t="s">
        <v>206</v>
      </c>
      <c r="BL169" t="s">
        <v>194</v>
      </c>
      <c r="BO169" t="s">
        <v>216</v>
      </c>
      <c r="BP169" t="s">
        <v>216</v>
      </c>
      <c r="BQ169" s="2">
        <v>44805</v>
      </c>
      <c r="BR169" t="s">
        <v>232</v>
      </c>
      <c r="BT169" t="s">
        <v>197</v>
      </c>
      <c r="BV169" t="s">
        <v>415</v>
      </c>
      <c r="BW169" t="s">
        <v>416</v>
      </c>
      <c r="BX169" t="s">
        <v>539</v>
      </c>
      <c r="BY169" t="s">
        <v>534</v>
      </c>
      <c r="BZ169" t="s">
        <v>734</v>
      </c>
      <c r="CA169" t="s">
        <v>214</v>
      </c>
      <c r="CB169" t="s">
        <v>194</v>
      </c>
      <c r="CC169" t="s">
        <v>264</v>
      </c>
      <c r="CD169" t="s">
        <v>265</v>
      </c>
      <c r="CE169" t="s">
        <v>266</v>
      </c>
      <c r="CF169" t="s">
        <v>215</v>
      </c>
      <c r="CH169" t="s">
        <v>214</v>
      </c>
      <c r="CI169" t="s">
        <v>214</v>
      </c>
      <c r="CJ169" t="s">
        <v>214</v>
      </c>
      <c r="CP169" t="s">
        <v>214</v>
      </c>
      <c r="CS169" t="s">
        <v>216</v>
      </c>
      <c r="CV169" t="s">
        <v>214</v>
      </c>
      <c r="CW169" t="s">
        <v>214</v>
      </c>
      <c r="CX169" t="s">
        <v>217</v>
      </c>
      <c r="CY169" t="s">
        <v>214</v>
      </c>
      <c r="DA169" t="s">
        <v>218</v>
      </c>
    </row>
    <row r="170" spans="1:105" x14ac:dyDescent="0.3">
      <c r="A170">
        <v>1227988</v>
      </c>
      <c r="B170">
        <v>616228</v>
      </c>
      <c r="C170" t="str">
        <f>"120510604435"</f>
        <v>120510604435</v>
      </c>
      <c r="D170" t="s">
        <v>362</v>
      </c>
      <c r="E170" t="s">
        <v>723</v>
      </c>
      <c r="F170" t="s">
        <v>336</v>
      </c>
      <c r="G170" s="1">
        <v>41039</v>
      </c>
      <c r="I170" t="s">
        <v>222</v>
      </c>
      <c r="J170" t="s">
        <v>188</v>
      </c>
      <c r="K170" t="s">
        <v>223</v>
      </c>
      <c r="Y170" t="str">
        <f>"2018-08-15T00:00:00"</f>
        <v>2018-08-15T00:00:00</v>
      </c>
      <c r="Z170" t="str">
        <f>"№20"</f>
        <v>№20</v>
      </c>
      <c r="AA170" t="s">
        <v>224</v>
      </c>
      <c r="AC170" t="s">
        <v>225</v>
      </c>
      <c r="AD170" t="s">
        <v>285</v>
      </c>
      <c r="AE170" t="s">
        <v>193</v>
      </c>
      <c r="AF170" t="s">
        <v>194</v>
      </c>
      <c r="AH170" t="s">
        <v>195</v>
      </c>
      <c r="AI170">
        <v>2</v>
      </c>
      <c r="AJ170" t="s">
        <v>196</v>
      </c>
      <c r="AK170" t="s">
        <v>194</v>
      </c>
      <c r="AL170" t="s">
        <v>197</v>
      </c>
      <c r="AM170" t="s">
        <v>198</v>
      </c>
      <c r="AR170" t="s">
        <v>194</v>
      </c>
      <c r="AS170" t="s">
        <v>199</v>
      </c>
      <c r="AU170" t="s">
        <v>197</v>
      </c>
      <c r="AZ170" t="s">
        <v>194</v>
      </c>
      <c r="BA170" t="s">
        <v>200</v>
      </c>
      <c r="BB170" t="s">
        <v>201</v>
      </c>
      <c r="BD170" t="s">
        <v>200</v>
      </c>
      <c r="BE170" t="s">
        <v>229</v>
      </c>
      <c r="BF170" t="s">
        <v>197</v>
      </c>
      <c r="BG170" t="s">
        <v>230</v>
      </c>
      <c r="BH170" t="s">
        <v>231</v>
      </c>
      <c r="BJ170" t="s">
        <v>205</v>
      </c>
      <c r="BK170" t="s">
        <v>206</v>
      </c>
      <c r="BL170" t="s">
        <v>194</v>
      </c>
      <c r="BO170" t="s">
        <v>200</v>
      </c>
      <c r="BP170" t="s">
        <v>200</v>
      </c>
      <c r="BQ170" t="s">
        <v>286</v>
      </c>
      <c r="BR170" t="s">
        <v>232</v>
      </c>
      <c r="BT170" t="s">
        <v>197</v>
      </c>
      <c r="BV170" t="s">
        <v>233</v>
      </c>
      <c r="CA170" t="s">
        <v>194</v>
      </c>
      <c r="CB170" t="s">
        <v>214</v>
      </c>
      <c r="CF170" t="s">
        <v>215</v>
      </c>
      <c r="CH170" t="s">
        <v>214</v>
      </c>
      <c r="CI170" t="s">
        <v>214</v>
      </c>
      <c r="CJ170" t="s">
        <v>214</v>
      </c>
      <c r="CP170" t="s">
        <v>214</v>
      </c>
      <c r="CS170" t="s">
        <v>216</v>
      </c>
      <c r="CV170" t="s">
        <v>214</v>
      </c>
      <c r="CW170" t="s">
        <v>214</v>
      </c>
      <c r="CX170" t="s">
        <v>217</v>
      </c>
      <c r="CY170" t="s">
        <v>214</v>
      </c>
      <c r="DA170" t="s">
        <v>218</v>
      </c>
    </row>
    <row r="171" spans="1:105" x14ac:dyDescent="0.3">
      <c r="A171">
        <v>1229778</v>
      </c>
      <c r="B171">
        <v>934044</v>
      </c>
      <c r="C171" t="str">
        <f>"091114553835"</f>
        <v>091114553835</v>
      </c>
      <c r="D171" t="s">
        <v>619</v>
      </c>
      <c r="E171" t="s">
        <v>320</v>
      </c>
      <c r="F171" t="s">
        <v>435</v>
      </c>
      <c r="G171" s="1">
        <v>40131</v>
      </c>
      <c r="I171" t="s">
        <v>187</v>
      </c>
      <c r="J171" t="s">
        <v>188</v>
      </c>
      <c r="K171" t="s">
        <v>223</v>
      </c>
      <c r="Y171" t="str">
        <f>"2016-08-29T00:00:00"</f>
        <v>2016-08-29T00:00:00</v>
      </c>
      <c r="Z171" t="str">
        <f>"№39"</f>
        <v>№39</v>
      </c>
      <c r="AA171" t="s">
        <v>190</v>
      </c>
      <c r="AC171" t="s">
        <v>237</v>
      </c>
      <c r="AD171" t="s">
        <v>242</v>
      </c>
      <c r="AE171" t="s">
        <v>243</v>
      </c>
      <c r="AF171" t="s">
        <v>194</v>
      </c>
      <c r="AH171" t="s">
        <v>195</v>
      </c>
      <c r="AI171">
        <v>1</v>
      </c>
      <c r="AJ171" t="s">
        <v>196</v>
      </c>
      <c r="AK171" t="s">
        <v>194</v>
      </c>
      <c r="AL171" t="s">
        <v>197</v>
      </c>
      <c r="AM171" t="s">
        <v>228</v>
      </c>
      <c r="AR171" t="s">
        <v>194</v>
      </c>
      <c r="AS171" t="s">
        <v>199</v>
      </c>
      <c r="AU171" t="s">
        <v>197</v>
      </c>
      <c r="AZ171" t="s">
        <v>194</v>
      </c>
      <c r="BA171" t="s">
        <v>200</v>
      </c>
      <c r="BB171" t="s">
        <v>201</v>
      </c>
      <c r="BD171" t="s">
        <v>200</v>
      </c>
      <c r="BE171" t="s">
        <v>229</v>
      </c>
      <c r="BF171" t="s">
        <v>197</v>
      </c>
      <c r="BG171" t="s">
        <v>306</v>
      </c>
      <c r="BH171" t="s">
        <v>307</v>
      </c>
      <c r="BJ171" t="s">
        <v>205</v>
      </c>
      <c r="BK171" t="s">
        <v>206</v>
      </c>
      <c r="BL171" t="s">
        <v>194</v>
      </c>
      <c r="BO171" t="s">
        <v>200</v>
      </c>
      <c r="BP171" t="s">
        <v>200</v>
      </c>
      <c r="BR171" t="s">
        <v>246</v>
      </c>
      <c r="BS171" t="s">
        <v>208</v>
      </c>
      <c r="BT171" t="s">
        <v>197</v>
      </c>
      <c r="BV171" t="s">
        <v>233</v>
      </c>
      <c r="CA171" t="s">
        <v>194</v>
      </c>
      <c r="CB171" t="s">
        <v>214</v>
      </c>
      <c r="CF171" t="s">
        <v>215</v>
      </c>
      <c r="CH171" t="s">
        <v>214</v>
      </c>
      <c r="CI171" t="s">
        <v>214</v>
      </c>
      <c r="CJ171" t="s">
        <v>214</v>
      </c>
      <c r="CP171" t="s">
        <v>214</v>
      </c>
      <c r="CS171" t="s">
        <v>216</v>
      </c>
      <c r="CV171" t="s">
        <v>214</v>
      </c>
      <c r="CW171" t="s">
        <v>214</v>
      </c>
      <c r="CX171" t="s">
        <v>217</v>
      </c>
      <c r="CY171" t="s">
        <v>214</v>
      </c>
      <c r="DA171" t="s">
        <v>218</v>
      </c>
    </row>
    <row r="172" spans="1:105" x14ac:dyDescent="0.3">
      <c r="A172">
        <v>1229815</v>
      </c>
      <c r="B172">
        <v>934066</v>
      </c>
      <c r="C172" t="str">
        <f>"100716654438"</f>
        <v>100716654438</v>
      </c>
      <c r="D172" t="s">
        <v>735</v>
      </c>
      <c r="E172" t="s">
        <v>639</v>
      </c>
      <c r="F172" t="s">
        <v>665</v>
      </c>
      <c r="G172" s="1">
        <v>40375</v>
      </c>
      <c r="I172" t="s">
        <v>222</v>
      </c>
      <c r="J172" t="s">
        <v>188</v>
      </c>
      <c r="K172" t="s">
        <v>223</v>
      </c>
      <c r="Y172" t="str">
        <f>"2016-08-29T00:00:00"</f>
        <v>2016-08-29T00:00:00</v>
      </c>
      <c r="Z172" t="str">
        <f>"№39"</f>
        <v>№39</v>
      </c>
      <c r="AA172" t="s">
        <v>190</v>
      </c>
      <c r="AC172" t="s">
        <v>237</v>
      </c>
      <c r="AD172" t="s">
        <v>242</v>
      </c>
      <c r="AE172" t="s">
        <v>243</v>
      </c>
      <c r="AF172" t="s">
        <v>194</v>
      </c>
      <c r="AH172" t="s">
        <v>195</v>
      </c>
      <c r="AI172">
        <v>1</v>
      </c>
      <c r="AJ172" t="s">
        <v>196</v>
      </c>
      <c r="AK172" t="s">
        <v>194</v>
      </c>
      <c r="AL172" t="s">
        <v>197</v>
      </c>
      <c r="AM172" t="s">
        <v>228</v>
      </c>
      <c r="AR172" t="s">
        <v>194</v>
      </c>
      <c r="AS172" t="s">
        <v>199</v>
      </c>
      <c r="AU172" t="s">
        <v>197</v>
      </c>
      <c r="AZ172" t="s">
        <v>194</v>
      </c>
      <c r="BA172" t="s">
        <v>200</v>
      </c>
      <c r="BB172" t="s">
        <v>201</v>
      </c>
      <c r="BD172" t="s">
        <v>200</v>
      </c>
      <c r="BE172" t="s">
        <v>244</v>
      </c>
      <c r="BF172" t="s">
        <v>197</v>
      </c>
      <c r="BG172" t="s">
        <v>230</v>
      </c>
      <c r="BH172" t="s">
        <v>245</v>
      </c>
      <c r="BJ172" t="s">
        <v>205</v>
      </c>
      <c r="BK172" t="s">
        <v>206</v>
      </c>
      <c r="BL172" t="s">
        <v>194</v>
      </c>
      <c r="BO172" t="s">
        <v>216</v>
      </c>
      <c r="BP172" t="s">
        <v>216</v>
      </c>
      <c r="BR172" t="s">
        <v>232</v>
      </c>
      <c r="BT172" t="s">
        <v>197</v>
      </c>
      <c r="BV172" t="s">
        <v>233</v>
      </c>
      <c r="CA172" t="s">
        <v>194</v>
      </c>
      <c r="CB172" t="s">
        <v>214</v>
      </c>
      <c r="CF172" t="s">
        <v>215</v>
      </c>
      <c r="CH172" t="s">
        <v>214</v>
      </c>
      <c r="CI172" t="s">
        <v>214</v>
      </c>
      <c r="CJ172" t="s">
        <v>214</v>
      </c>
      <c r="CP172" t="s">
        <v>214</v>
      </c>
      <c r="CS172" t="s">
        <v>216</v>
      </c>
      <c r="CV172" t="s">
        <v>214</v>
      </c>
      <c r="CW172" t="s">
        <v>214</v>
      </c>
      <c r="CX172" t="s">
        <v>217</v>
      </c>
      <c r="CY172" t="s">
        <v>214</v>
      </c>
      <c r="DA172" t="s">
        <v>218</v>
      </c>
    </row>
    <row r="173" spans="1:105" x14ac:dyDescent="0.3">
      <c r="A173">
        <v>1229835</v>
      </c>
      <c r="B173">
        <v>934080</v>
      </c>
      <c r="C173" t="str">
        <f>"100105554905"</f>
        <v>100105554905</v>
      </c>
      <c r="D173" t="s">
        <v>736</v>
      </c>
      <c r="E173" t="s">
        <v>737</v>
      </c>
      <c r="F173" t="s">
        <v>289</v>
      </c>
      <c r="G173" s="1">
        <v>40183</v>
      </c>
      <c r="I173" t="s">
        <v>187</v>
      </c>
      <c r="J173" t="s">
        <v>188</v>
      </c>
      <c r="K173" t="s">
        <v>382</v>
      </c>
      <c r="Y173" t="str">
        <f>"2016-08-29T00:00:00"</f>
        <v>2016-08-29T00:00:00</v>
      </c>
      <c r="Z173" t="str">
        <f>"№39"</f>
        <v>№39</v>
      </c>
      <c r="AA173" t="s">
        <v>190</v>
      </c>
      <c r="AC173" t="s">
        <v>191</v>
      </c>
      <c r="AD173" t="s">
        <v>242</v>
      </c>
      <c r="AE173" t="s">
        <v>243</v>
      </c>
      <c r="AF173" t="s">
        <v>194</v>
      </c>
      <c r="AH173" t="s">
        <v>195</v>
      </c>
      <c r="AI173">
        <v>1</v>
      </c>
      <c r="AJ173" t="s">
        <v>196</v>
      </c>
      <c r="AK173" t="s">
        <v>194</v>
      </c>
      <c r="AL173" t="s">
        <v>197</v>
      </c>
      <c r="AM173" t="s">
        <v>228</v>
      </c>
      <c r="AR173" t="s">
        <v>194</v>
      </c>
      <c r="AS173" t="s">
        <v>199</v>
      </c>
      <c r="AU173" t="s">
        <v>197</v>
      </c>
      <c r="AZ173" t="s">
        <v>194</v>
      </c>
      <c r="BA173" t="s">
        <v>200</v>
      </c>
      <c r="BB173" t="s">
        <v>201</v>
      </c>
      <c r="BD173" t="s">
        <v>200</v>
      </c>
      <c r="BE173" t="s">
        <v>202</v>
      </c>
      <c r="BF173" t="s">
        <v>197</v>
      </c>
      <c r="BG173" t="s">
        <v>230</v>
      </c>
      <c r="BH173" t="s">
        <v>231</v>
      </c>
      <c r="BJ173" t="s">
        <v>205</v>
      </c>
      <c r="BK173" t="s">
        <v>206</v>
      </c>
      <c r="BL173" t="s">
        <v>194</v>
      </c>
      <c r="BO173" t="s">
        <v>216</v>
      </c>
      <c r="BP173" t="s">
        <v>216</v>
      </c>
      <c r="BR173" t="s">
        <v>232</v>
      </c>
      <c r="BT173" t="s">
        <v>197</v>
      </c>
      <c r="BV173" t="s">
        <v>233</v>
      </c>
      <c r="CA173" t="s">
        <v>194</v>
      </c>
      <c r="CB173" t="s">
        <v>214</v>
      </c>
      <c r="CF173" t="s">
        <v>215</v>
      </c>
      <c r="CH173" t="s">
        <v>214</v>
      </c>
      <c r="CI173" t="s">
        <v>214</v>
      </c>
      <c r="CJ173" t="s">
        <v>214</v>
      </c>
      <c r="CP173" t="s">
        <v>214</v>
      </c>
      <c r="CS173" t="s">
        <v>216</v>
      </c>
      <c r="CV173" t="s">
        <v>214</v>
      </c>
      <c r="CW173" t="s">
        <v>214</v>
      </c>
      <c r="CX173" t="s">
        <v>217</v>
      </c>
      <c r="CY173" t="s">
        <v>214</v>
      </c>
      <c r="DA173" t="s">
        <v>218</v>
      </c>
    </row>
    <row r="174" spans="1:105" x14ac:dyDescent="0.3">
      <c r="A174">
        <v>1229870</v>
      </c>
      <c r="B174">
        <v>934101</v>
      </c>
      <c r="C174" t="str">
        <f>"090420651668"</f>
        <v>090420651668</v>
      </c>
      <c r="D174" t="s">
        <v>738</v>
      </c>
      <c r="E174" t="s">
        <v>739</v>
      </c>
      <c r="F174" t="s">
        <v>740</v>
      </c>
      <c r="G174" s="1">
        <v>39923</v>
      </c>
      <c r="I174" t="s">
        <v>222</v>
      </c>
      <c r="J174" t="s">
        <v>188</v>
      </c>
      <c r="K174" t="s">
        <v>284</v>
      </c>
      <c r="Y174" t="str">
        <f>"2016-08-29T00:00:00"</f>
        <v>2016-08-29T00:00:00</v>
      </c>
      <c r="Z174" t="str">
        <f>"№39"</f>
        <v>№39</v>
      </c>
      <c r="AA174" t="s">
        <v>190</v>
      </c>
      <c r="AC174" t="s">
        <v>191</v>
      </c>
      <c r="AD174" t="s">
        <v>242</v>
      </c>
      <c r="AE174" t="s">
        <v>243</v>
      </c>
      <c r="AF174" t="s">
        <v>194</v>
      </c>
      <c r="AH174" t="s">
        <v>195</v>
      </c>
      <c r="AI174">
        <v>1</v>
      </c>
      <c r="AJ174" t="s">
        <v>196</v>
      </c>
      <c r="AK174" t="s">
        <v>194</v>
      </c>
      <c r="AL174" t="s">
        <v>197</v>
      </c>
      <c r="AM174" t="s">
        <v>228</v>
      </c>
      <c r="AR174" t="s">
        <v>194</v>
      </c>
      <c r="AS174" t="s">
        <v>199</v>
      </c>
      <c r="AU174" t="s">
        <v>197</v>
      </c>
      <c r="AZ174" t="s">
        <v>194</v>
      </c>
      <c r="BA174" t="s">
        <v>200</v>
      </c>
      <c r="BB174" t="s">
        <v>201</v>
      </c>
      <c r="BC174" t="s">
        <v>317</v>
      </c>
      <c r="BD174" t="s">
        <v>200</v>
      </c>
      <c r="BE174" t="s">
        <v>229</v>
      </c>
      <c r="BF174" t="s">
        <v>197</v>
      </c>
      <c r="BG174" t="s">
        <v>306</v>
      </c>
      <c r="BH174" t="s">
        <v>299</v>
      </c>
      <c r="BJ174" t="s">
        <v>205</v>
      </c>
      <c r="BK174" t="s">
        <v>206</v>
      </c>
      <c r="BL174" t="s">
        <v>194</v>
      </c>
      <c r="BO174" t="s">
        <v>216</v>
      </c>
      <c r="BP174" t="s">
        <v>216</v>
      </c>
      <c r="BR174" t="s">
        <v>232</v>
      </c>
      <c r="BT174" t="s">
        <v>197</v>
      </c>
      <c r="BV174" t="s">
        <v>233</v>
      </c>
      <c r="CA174" t="s">
        <v>194</v>
      </c>
      <c r="CB174" t="s">
        <v>214</v>
      </c>
      <c r="CF174" t="s">
        <v>215</v>
      </c>
      <c r="CH174" t="s">
        <v>214</v>
      </c>
      <c r="CI174" t="s">
        <v>214</v>
      </c>
      <c r="CJ174" t="s">
        <v>214</v>
      </c>
      <c r="CP174" t="s">
        <v>214</v>
      </c>
      <c r="CS174" t="s">
        <v>216</v>
      </c>
      <c r="CV174" t="s">
        <v>214</v>
      </c>
      <c r="CW174" t="s">
        <v>214</v>
      </c>
      <c r="CX174" t="s">
        <v>217</v>
      </c>
      <c r="CY174" t="s">
        <v>214</v>
      </c>
      <c r="DA174" t="s">
        <v>218</v>
      </c>
    </row>
    <row r="175" spans="1:105" x14ac:dyDescent="0.3">
      <c r="A175">
        <v>1227787</v>
      </c>
      <c r="B175">
        <v>932902</v>
      </c>
      <c r="C175" t="str">
        <f>"110903502368"</f>
        <v>110903502368</v>
      </c>
      <c r="D175" t="s">
        <v>741</v>
      </c>
      <c r="E175" t="s">
        <v>552</v>
      </c>
      <c r="F175" t="s">
        <v>742</v>
      </c>
      <c r="G175" s="1">
        <v>40789</v>
      </c>
      <c r="I175" t="s">
        <v>187</v>
      </c>
      <c r="J175" t="s">
        <v>188</v>
      </c>
      <c r="K175" t="s">
        <v>260</v>
      </c>
      <c r="Y175" t="str">
        <f>"2018-08-15T00:00:00"</f>
        <v>2018-08-15T00:00:00</v>
      </c>
      <c r="Z175" t="str">
        <f>"№20"</f>
        <v>№20</v>
      </c>
      <c r="AA175" t="s">
        <v>224</v>
      </c>
      <c r="AC175" t="s">
        <v>191</v>
      </c>
      <c r="AD175" t="s">
        <v>285</v>
      </c>
      <c r="AE175" t="s">
        <v>193</v>
      </c>
      <c r="AF175" t="s">
        <v>194</v>
      </c>
      <c r="AH175" t="s">
        <v>195</v>
      </c>
      <c r="AI175">
        <v>2</v>
      </c>
      <c r="AJ175" t="s">
        <v>196</v>
      </c>
      <c r="AK175" t="s">
        <v>194</v>
      </c>
      <c r="AL175" t="s">
        <v>197</v>
      </c>
      <c r="AM175" t="s">
        <v>228</v>
      </c>
      <c r="AR175" t="s">
        <v>194</v>
      </c>
      <c r="AS175" t="s">
        <v>199</v>
      </c>
      <c r="AU175" t="s">
        <v>197</v>
      </c>
      <c r="AZ175" t="s">
        <v>194</v>
      </c>
      <c r="BA175" t="s">
        <v>200</v>
      </c>
      <c r="BB175" t="s">
        <v>201</v>
      </c>
      <c r="BD175" t="s">
        <v>200</v>
      </c>
      <c r="BE175" t="s">
        <v>202</v>
      </c>
      <c r="BF175" t="s">
        <v>197</v>
      </c>
      <c r="BG175" t="s">
        <v>262</v>
      </c>
      <c r="BH175" t="s">
        <v>440</v>
      </c>
      <c r="BJ175" t="s">
        <v>205</v>
      </c>
      <c r="BK175" t="s">
        <v>206</v>
      </c>
      <c r="BL175" t="s">
        <v>194</v>
      </c>
      <c r="BO175" t="s">
        <v>216</v>
      </c>
      <c r="BP175" t="s">
        <v>216</v>
      </c>
      <c r="BQ175" t="s">
        <v>286</v>
      </c>
      <c r="BR175" t="s">
        <v>232</v>
      </c>
      <c r="BT175" t="s">
        <v>197</v>
      </c>
      <c r="BV175" t="s">
        <v>233</v>
      </c>
      <c r="CA175" t="s">
        <v>214</v>
      </c>
      <c r="CB175" t="s">
        <v>194</v>
      </c>
      <c r="CC175" t="s">
        <v>264</v>
      </c>
      <c r="CD175" t="s">
        <v>265</v>
      </c>
      <c r="CE175" t="s">
        <v>266</v>
      </c>
      <c r="CF175" t="s">
        <v>215</v>
      </c>
      <c r="CH175" t="s">
        <v>214</v>
      </c>
      <c r="CI175" t="s">
        <v>214</v>
      </c>
      <c r="CJ175" t="s">
        <v>214</v>
      </c>
      <c r="CP175" t="s">
        <v>214</v>
      </c>
      <c r="CS175" t="s">
        <v>216</v>
      </c>
      <c r="CV175" t="s">
        <v>214</v>
      </c>
      <c r="CW175" t="s">
        <v>214</v>
      </c>
      <c r="CX175" t="s">
        <v>217</v>
      </c>
      <c r="CY175" t="s">
        <v>214</v>
      </c>
      <c r="DA175" t="s">
        <v>218</v>
      </c>
    </row>
    <row r="176" spans="1:105" x14ac:dyDescent="0.3">
      <c r="A176">
        <v>1227758</v>
      </c>
      <c r="B176">
        <v>932885</v>
      </c>
      <c r="C176" t="str">
        <f>"071218652111"</f>
        <v>071218652111</v>
      </c>
      <c r="D176" t="s">
        <v>743</v>
      </c>
      <c r="E176" t="s">
        <v>744</v>
      </c>
      <c r="F176" t="s">
        <v>336</v>
      </c>
      <c r="G176" s="1">
        <v>39434</v>
      </c>
      <c r="I176" t="s">
        <v>222</v>
      </c>
      <c r="J176" t="s">
        <v>188</v>
      </c>
      <c r="K176" t="s">
        <v>260</v>
      </c>
      <c r="Y176" t="str">
        <f>"2014-09-01T00:00:00"</f>
        <v>2014-09-01T00:00:00</v>
      </c>
      <c r="Z176" t="str">
        <f>"№76"</f>
        <v>№76</v>
      </c>
      <c r="AA176" t="s">
        <v>224</v>
      </c>
      <c r="AB176" t="str">
        <f>"akm_arshalu_novoaleksandrovka@mail.ru"</f>
        <v>akm_arshalu_novoaleksandrovka@mail.ru</v>
      </c>
      <c r="AC176" t="s">
        <v>237</v>
      </c>
      <c r="AD176" t="s">
        <v>192</v>
      </c>
      <c r="AE176" t="s">
        <v>227</v>
      </c>
      <c r="AF176" t="s">
        <v>194</v>
      </c>
      <c r="AH176" t="s">
        <v>195</v>
      </c>
      <c r="AI176">
        <v>1</v>
      </c>
      <c r="AJ176" t="s">
        <v>196</v>
      </c>
      <c r="AK176" t="s">
        <v>194</v>
      </c>
      <c r="AL176" t="s">
        <v>197</v>
      </c>
      <c r="AM176" t="s">
        <v>228</v>
      </c>
      <c r="AR176" t="s">
        <v>194</v>
      </c>
      <c r="AS176" t="s">
        <v>199</v>
      </c>
      <c r="AU176" t="s">
        <v>197</v>
      </c>
      <c r="AZ176" t="s">
        <v>194</v>
      </c>
      <c r="BA176" t="s">
        <v>200</v>
      </c>
      <c r="BB176" t="s">
        <v>201</v>
      </c>
      <c r="BD176" t="s">
        <v>200</v>
      </c>
      <c r="BE176" t="s">
        <v>229</v>
      </c>
      <c r="BF176" t="s">
        <v>197</v>
      </c>
      <c r="BG176" t="s">
        <v>290</v>
      </c>
      <c r="BH176" t="s">
        <v>291</v>
      </c>
      <c r="BJ176" t="s">
        <v>205</v>
      </c>
      <c r="BK176" t="s">
        <v>206</v>
      </c>
      <c r="BL176" t="s">
        <v>194</v>
      </c>
      <c r="BO176" t="s">
        <v>216</v>
      </c>
      <c r="BP176" t="s">
        <v>216</v>
      </c>
      <c r="BR176" t="s">
        <v>207</v>
      </c>
      <c r="BS176" t="s">
        <v>208</v>
      </c>
      <c r="BT176" t="s">
        <v>745</v>
      </c>
      <c r="BU176" t="s">
        <v>208</v>
      </c>
      <c r="BV176" t="s">
        <v>233</v>
      </c>
      <c r="CA176" t="s">
        <v>194</v>
      </c>
      <c r="CB176" t="s">
        <v>214</v>
      </c>
      <c r="CF176" t="s">
        <v>215</v>
      </c>
      <c r="CH176" t="s">
        <v>214</v>
      </c>
      <c r="CI176" t="s">
        <v>214</v>
      </c>
      <c r="CJ176" t="s">
        <v>214</v>
      </c>
      <c r="CP176" t="s">
        <v>214</v>
      </c>
      <c r="CS176" t="s">
        <v>216</v>
      </c>
      <c r="CV176" t="s">
        <v>214</v>
      </c>
      <c r="CW176" t="s">
        <v>214</v>
      </c>
      <c r="CX176" t="s">
        <v>217</v>
      </c>
      <c r="CY176" t="s">
        <v>214</v>
      </c>
      <c r="DA176" t="s">
        <v>218</v>
      </c>
    </row>
    <row r="177" spans="1:105" x14ac:dyDescent="0.3">
      <c r="A177">
        <v>1227651</v>
      </c>
      <c r="B177">
        <v>92982</v>
      </c>
      <c r="C177" t="str">
        <f>"100623550255"</f>
        <v>100623550255</v>
      </c>
      <c r="D177" t="s">
        <v>746</v>
      </c>
      <c r="E177" t="s">
        <v>434</v>
      </c>
      <c r="F177" t="s">
        <v>529</v>
      </c>
      <c r="G177" s="1">
        <v>40352</v>
      </c>
      <c r="I177" t="s">
        <v>187</v>
      </c>
      <c r="J177" t="s">
        <v>188</v>
      </c>
      <c r="K177" t="s">
        <v>223</v>
      </c>
      <c r="Y177" t="str">
        <f>"2016-08-29T00:00:00"</f>
        <v>2016-08-29T00:00:00</v>
      </c>
      <c r="Z177" t="str">
        <f>"№39"</f>
        <v>№39</v>
      </c>
      <c r="AA177" t="s">
        <v>314</v>
      </c>
      <c r="AC177" t="s">
        <v>225</v>
      </c>
      <c r="AD177" t="s">
        <v>242</v>
      </c>
      <c r="AE177" t="s">
        <v>413</v>
      </c>
      <c r="AF177" t="s">
        <v>194</v>
      </c>
      <c r="AH177" t="s">
        <v>195</v>
      </c>
      <c r="AI177">
        <v>1</v>
      </c>
      <c r="AJ177" t="s">
        <v>196</v>
      </c>
      <c r="AK177" t="s">
        <v>194</v>
      </c>
      <c r="AL177" t="s">
        <v>197</v>
      </c>
      <c r="AM177" t="s">
        <v>228</v>
      </c>
      <c r="AR177" t="s">
        <v>194</v>
      </c>
      <c r="AS177" t="s">
        <v>199</v>
      </c>
      <c r="AU177" t="s">
        <v>197</v>
      </c>
      <c r="AZ177" t="s">
        <v>194</v>
      </c>
      <c r="BA177" t="s">
        <v>200</v>
      </c>
      <c r="BB177" t="s">
        <v>201</v>
      </c>
      <c r="BC177" t="s">
        <v>200</v>
      </c>
      <c r="BE177" t="s">
        <v>202</v>
      </c>
      <c r="BF177" t="s">
        <v>197</v>
      </c>
      <c r="BG177" t="s">
        <v>230</v>
      </c>
      <c r="BH177" t="s">
        <v>400</v>
      </c>
      <c r="BJ177" t="s">
        <v>205</v>
      </c>
      <c r="BK177" t="s">
        <v>206</v>
      </c>
      <c r="BL177" t="s">
        <v>194</v>
      </c>
      <c r="BO177" t="s">
        <v>200</v>
      </c>
      <c r="BP177" t="s">
        <v>200</v>
      </c>
      <c r="BR177" t="s">
        <v>246</v>
      </c>
      <c r="BS177" t="s">
        <v>208</v>
      </c>
      <c r="BT177" t="s">
        <v>197</v>
      </c>
      <c r="BV177" t="s">
        <v>233</v>
      </c>
      <c r="CA177" t="s">
        <v>194</v>
      </c>
      <c r="CB177" t="s">
        <v>214</v>
      </c>
      <c r="CF177" t="s">
        <v>215</v>
      </c>
      <c r="CH177" t="s">
        <v>214</v>
      </c>
      <c r="CI177" t="s">
        <v>214</v>
      </c>
      <c r="CJ177" t="s">
        <v>214</v>
      </c>
      <c r="CP177" t="s">
        <v>214</v>
      </c>
      <c r="CS177" t="s">
        <v>216</v>
      </c>
      <c r="CV177" t="s">
        <v>214</v>
      </c>
      <c r="CW177" t="s">
        <v>214</v>
      </c>
      <c r="CX177" t="s">
        <v>217</v>
      </c>
      <c r="CY177" t="s">
        <v>214</v>
      </c>
      <c r="DA177" t="s">
        <v>218</v>
      </c>
    </row>
    <row r="178" spans="1:105" x14ac:dyDescent="0.3">
      <c r="A178">
        <v>1230029</v>
      </c>
      <c r="B178">
        <v>619112</v>
      </c>
      <c r="C178" t="str">
        <f>"121224503349"</f>
        <v>121224503349</v>
      </c>
      <c r="D178" t="s">
        <v>747</v>
      </c>
      <c r="E178" t="s">
        <v>603</v>
      </c>
      <c r="F178" t="s">
        <v>748</v>
      </c>
      <c r="G178" s="1">
        <v>41267</v>
      </c>
      <c r="I178" t="s">
        <v>187</v>
      </c>
      <c r="J178" t="s">
        <v>188</v>
      </c>
      <c r="K178" t="s">
        <v>223</v>
      </c>
      <c r="Y178" t="str">
        <f>"2018-09-01T00:00:00"</f>
        <v>2018-09-01T00:00:00</v>
      </c>
      <c r="Z178" t="str">
        <f>"№26"</f>
        <v>№26</v>
      </c>
      <c r="AA178" t="s">
        <v>224</v>
      </c>
      <c r="AC178" t="s">
        <v>225</v>
      </c>
      <c r="AD178" t="s">
        <v>615</v>
      </c>
      <c r="AE178" t="s">
        <v>413</v>
      </c>
      <c r="AF178" t="s">
        <v>194</v>
      </c>
      <c r="AH178" t="s">
        <v>195</v>
      </c>
      <c r="AI178">
        <v>1</v>
      </c>
      <c r="AJ178" t="s">
        <v>196</v>
      </c>
      <c r="AK178" t="s">
        <v>194</v>
      </c>
      <c r="AL178" t="s">
        <v>197</v>
      </c>
      <c r="AM178" t="s">
        <v>228</v>
      </c>
      <c r="AR178" t="s">
        <v>194</v>
      </c>
      <c r="AS178" t="s">
        <v>199</v>
      </c>
      <c r="AU178" t="s">
        <v>197</v>
      </c>
      <c r="AZ178" t="s">
        <v>194</v>
      </c>
      <c r="BA178" t="s">
        <v>200</v>
      </c>
      <c r="BB178" t="s">
        <v>201</v>
      </c>
      <c r="BD178" t="s">
        <v>200</v>
      </c>
      <c r="BE178" t="s">
        <v>244</v>
      </c>
      <c r="BF178" t="s">
        <v>197</v>
      </c>
      <c r="BG178" t="s">
        <v>238</v>
      </c>
      <c r="BH178">
        <v>5</v>
      </c>
      <c r="BJ178" t="s">
        <v>205</v>
      </c>
      <c r="BK178" t="s">
        <v>206</v>
      </c>
      <c r="BL178" t="s">
        <v>194</v>
      </c>
      <c r="BO178" t="s">
        <v>216</v>
      </c>
      <c r="BP178" t="s">
        <v>216</v>
      </c>
      <c r="BQ178" s="2">
        <v>44805</v>
      </c>
      <c r="BR178" t="s">
        <v>232</v>
      </c>
      <c r="BT178" t="s">
        <v>197</v>
      </c>
      <c r="BV178" t="s">
        <v>233</v>
      </c>
      <c r="CA178" t="s">
        <v>214</v>
      </c>
      <c r="CB178" t="s">
        <v>194</v>
      </c>
      <c r="CC178" t="s">
        <v>264</v>
      </c>
      <c r="CD178" t="s">
        <v>265</v>
      </c>
      <c r="CE178" t="s">
        <v>266</v>
      </c>
      <c r="CF178" t="s">
        <v>215</v>
      </c>
      <c r="CH178" t="s">
        <v>214</v>
      </c>
      <c r="CI178" t="s">
        <v>214</v>
      </c>
      <c r="CJ178" t="s">
        <v>214</v>
      </c>
      <c r="CP178" t="s">
        <v>214</v>
      </c>
      <c r="CS178" t="s">
        <v>216</v>
      </c>
      <c r="CV178" t="s">
        <v>214</v>
      </c>
      <c r="CW178" t="s">
        <v>214</v>
      </c>
      <c r="CX178" t="s">
        <v>217</v>
      </c>
      <c r="CY178" t="s">
        <v>214</v>
      </c>
      <c r="DA178" t="s">
        <v>218</v>
      </c>
    </row>
    <row r="179" spans="1:105" x14ac:dyDescent="0.3">
      <c r="A179">
        <v>1227612</v>
      </c>
      <c r="B179">
        <v>932783</v>
      </c>
      <c r="C179" t="str">
        <f>"090627552181"</f>
        <v>090627552181</v>
      </c>
      <c r="D179" t="s">
        <v>563</v>
      </c>
      <c r="E179" t="s">
        <v>749</v>
      </c>
      <c r="F179" t="s">
        <v>289</v>
      </c>
      <c r="G179" s="1">
        <v>39991</v>
      </c>
      <c r="I179" t="s">
        <v>187</v>
      </c>
      <c r="J179" t="s">
        <v>188</v>
      </c>
      <c r="K179" t="s">
        <v>298</v>
      </c>
      <c r="Y179" t="str">
        <f>"2016-08-29T00:00:00"</f>
        <v>2016-08-29T00:00:00</v>
      </c>
      <c r="Z179" t="str">
        <f>"№39"</f>
        <v>№39</v>
      </c>
      <c r="AA179" t="s">
        <v>190</v>
      </c>
      <c r="AC179" t="s">
        <v>225</v>
      </c>
      <c r="AD179" t="s">
        <v>242</v>
      </c>
      <c r="AE179" t="s">
        <v>243</v>
      </c>
      <c r="AF179" t="s">
        <v>194</v>
      </c>
      <c r="AH179" t="s">
        <v>195</v>
      </c>
      <c r="AI179">
        <v>1</v>
      </c>
      <c r="AJ179" t="s">
        <v>196</v>
      </c>
      <c r="AK179" t="s">
        <v>194</v>
      </c>
      <c r="AL179" t="s">
        <v>197</v>
      </c>
      <c r="AM179" t="s">
        <v>198</v>
      </c>
      <c r="AQ179" t="str">
        <f>"2021-02-05T08:51:30"</f>
        <v>2021-02-05T08:51:30</v>
      </c>
      <c r="AR179" t="s">
        <v>194</v>
      </c>
      <c r="AS179" t="s">
        <v>199</v>
      </c>
      <c r="AU179" t="s">
        <v>197</v>
      </c>
      <c r="AZ179" t="s">
        <v>194</v>
      </c>
      <c r="BA179" t="s">
        <v>200</v>
      </c>
      <c r="BB179" t="s">
        <v>201</v>
      </c>
      <c r="BC179" t="s">
        <v>317</v>
      </c>
      <c r="BE179" t="s">
        <v>229</v>
      </c>
      <c r="BF179" t="s">
        <v>197</v>
      </c>
      <c r="BG179" t="s">
        <v>230</v>
      </c>
      <c r="BH179" t="s">
        <v>307</v>
      </c>
      <c r="BJ179" t="s">
        <v>205</v>
      </c>
      <c r="BK179" t="s">
        <v>206</v>
      </c>
      <c r="BL179" t="s">
        <v>194</v>
      </c>
      <c r="BO179" t="s">
        <v>216</v>
      </c>
      <c r="BP179" t="s">
        <v>216</v>
      </c>
      <c r="BR179" t="s">
        <v>232</v>
      </c>
      <c r="BT179" t="s">
        <v>197</v>
      </c>
      <c r="BV179" t="s">
        <v>233</v>
      </c>
      <c r="CA179" t="s">
        <v>194</v>
      </c>
      <c r="CB179" t="s">
        <v>214</v>
      </c>
      <c r="CF179" t="s">
        <v>215</v>
      </c>
      <c r="CH179" t="s">
        <v>214</v>
      </c>
      <c r="CI179" t="s">
        <v>214</v>
      </c>
      <c r="CJ179" t="s">
        <v>214</v>
      </c>
      <c r="CP179" t="s">
        <v>214</v>
      </c>
      <c r="CS179" t="s">
        <v>216</v>
      </c>
      <c r="CV179" t="s">
        <v>214</v>
      </c>
      <c r="CW179" t="s">
        <v>214</v>
      </c>
      <c r="CX179" t="s">
        <v>217</v>
      </c>
      <c r="CY179" t="s">
        <v>214</v>
      </c>
      <c r="DA179" t="s">
        <v>218</v>
      </c>
    </row>
    <row r="180" spans="1:105" x14ac:dyDescent="0.3">
      <c r="A180">
        <v>1230127</v>
      </c>
      <c r="B180">
        <v>934259</v>
      </c>
      <c r="C180" t="str">
        <f>"090327652541"</f>
        <v>090327652541</v>
      </c>
      <c r="D180" t="s">
        <v>750</v>
      </c>
      <c r="E180" t="s">
        <v>751</v>
      </c>
      <c r="G180" s="1">
        <v>39899</v>
      </c>
      <c r="I180" t="s">
        <v>222</v>
      </c>
      <c r="J180" t="s">
        <v>188</v>
      </c>
      <c r="K180" t="s">
        <v>189</v>
      </c>
      <c r="Y180" t="str">
        <f>"2018-08-15T00:00:00"</f>
        <v>2018-08-15T00:00:00</v>
      </c>
      <c r="Z180" t="str">
        <f>"№20"</f>
        <v>№20</v>
      </c>
      <c r="AA180" t="s">
        <v>224</v>
      </c>
      <c r="AC180" t="s">
        <v>237</v>
      </c>
      <c r="AD180" t="s">
        <v>242</v>
      </c>
      <c r="AE180" t="s">
        <v>243</v>
      </c>
      <c r="AF180" t="s">
        <v>194</v>
      </c>
      <c r="AH180" t="s">
        <v>195</v>
      </c>
      <c r="AI180">
        <v>1</v>
      </c>
      <c r="AJ180" t="s">
        <v>196</v>
      </c>
      <c r="AK180" t="s">
        <v>194</v>
      </c>
      <c r="AL180" t="s">
        <v>197</v>
      </c>
      <c r="AM180" t="s">
        <v>228</v>
      </c>
      <c r="AR180" t="s">
        <v>194</v>
      </c>
      <c r="AS180" t="s">
        <v>199</v>
      </c>
      <c r="AU180" t="s">
        <v>197</v>
      </c>
      <c r="AZ180" t="s">
        <v>194</v>
      </c>
      <c r="BA180" t="s">
        <v>200</v>
      </c>
      <c r="BB180" t="s">
        <v>201</v>
      </c>
      <c r="BD180" t="s">
        <v>200</v>
      </c>
      <c r="BE180" t="s">
        <v>244</v>
      </c>
      <c r="BF180" t="s">
        <v>197</v>
      </c>
      <c r="BG180" t="s">
        <v>230</v>
      </c>
      <c r="BH180" t="s">
        <v>245</v>
      </c>
      <c r="BJ180" t="s">
        <v>205</v>
      </c>
      <c r="BK180" t="s">
        <v>206</v>
      </c>
      <c r="BL180" t="s">
        <v>194</v>
      </c>
      <c r="BO180" t="s">
        <v>216</v>
      </c>
      <c r="BP180" t="s">
        <v>216</v>
      </c>
      <c r="BR180" t="s">
        <v>232</v>
      </c>
      <c r="BT180" t="s">
        <v>197</v>
      </c>
      <c r="BV180" t="s">
        <v>415</v>
      </c>
      <c r="BW180" t="s">
        <v>416</v>
      </c>
      <c r="BX180" t="s">
        <v>211</v>
      </c>
      <c r="BY180" t="s">
        <v>212</v>
      </c>
      <c r="BZ180" t="s">
        <v>473</v>
      </c>
      <c r="CA180" t="s">
        <v>194</v>
      </c>
      <c r="CB180" t="s">
        <v>214</v>
      </c>
      <c r="CF180" t="s">
        <v>215</v>
      </c>
      <c r="CH180" t="s">
        <v>214</v>
      </c>
      <c r="CI180" t="s">
        <v>214</v>
      </c>
      <c r="CJ180" t="s">
        <v>214</v>
      </c>
      <c r="CP180" t="s">
        <v>214</v>
      </c>
      <c r="CS180" t="s">
        <v>216</v>
      </c>
      <c r="CV180" t="s">
        <v>214</v>
      </c>
      <c r="CW180" t="s">
        <v>214</v>
      </c>
      <c r="CX180" t="s">
        <v>217</v>
      </c>
      <c r="CY180" t="s">
        <v>214</v>
      </c>
      <c r="DA180" t="s">
        <v>218</v>
      </c>
    </row>
    <row r="181" spans="1:105" x14ac:dyDescent="0.3">
      <c r="A181">
        <v>1230216</v>
      </c>
      <c r="B181">
        <v>934304</v>
      </c>
      <c r="C181" t="str">
        <f>"121109500409"</f>
        <v>121109500409</v>
      </c>
      <c r="D181" t="s">
        <v>239</v>
      </c>
      <c r="E181" t="s">
        <v>752</v>
      </c>
      <c r="F181" t="s">
        <v>241</v>
      </c>
      <c r="G181" s="1">
        <v>41222</v>
      </c>
      <c r="I181" t="s">
        <v>187</v>
      </c>
      <c r="J181" t="s">
        <v>188</v>
      </c>
      <c r="K181" t="s">
        <v>223</v>
      </c>
      <c r="Y181" t="str">
        <f>"2018-08-27T00:00:00"</f>
        <v>2018-08-27T00:00:00</v>
      </c>
      <c r="Z181" t="str">
        <f>"№21"</f>
        <v>№21</v>
      </c>
      <c r="AA181" t="s">
        <v>224</v>
      </c>
      <c r="AC181" t="s">
        <v>191</v>
      </c>
      <c r="AD181" t="s">
        <v>285</v>
      </c>
      <c r="AE181" t="s">
        <v>243</v>
      </c>
      <c r="AF181" t="s">
        <v>194</v>
      </c>
      <c r="AH181" t="s">
        <v>195</v>
      </c>
      <c r="AI181">
        <v>1</v>
      </c>
      <c r="AJ181" t="s">
        <v>196</v>
      </c>
      <c r="AK181" t="s">
        <v>194</v>
      </c>
      <c r="AL181" t="s">
        <v>197</v>
      </c>
      <c r="AM181" t="s">
        <v>228</v>
      </c>
      <c r="AR181" t="s">
        <v>194</v>
      </c>
      <c r="AS181" t="s">
        <v>199</v>
      </c>
      <c r="AU181" t="s">
        <v>197</v>
      </c>
      <c r="AZ181" t="s">
        <v>194</v>
      </c>
      <c r="BA181" t="s">
        <v>200</v>
      </c>
      <c r="BB181" t="s">
        <v>201</v>
      </c>
      <c r="BD181" t="s">
        <v>200</v>
      </c>
      <c r="BE181" t="s">
        <v>229</v>
      </c>
      <c r="BF181" t="s">
        <v>197</v>
      </c>
      <c r="BG181" t="s">
        <v>230</v>
      </c>
      <c r="BH181" t="s">
        <v>231</v>
      </c>
      <c r="BJ181" t="s">
        <v>205</v>
      </c>
      <c r="BK181" t="s">
        <v>206</v>
      </c>
      <c r="BL181" t="s">
        <v>194</v>
      </c>
      <c r="BO181" t="s">
        <v>200</v>
      </c>
      <c r="BP181" t="s">
        <v>200</v>
      </c>
      <c r="BQ181" t="s">
        <v>271</v>
      </c>
      <c r="BR181" t="s">
        <v>232</v>
      </c>
      <c r="BT181" t="s">
        <v>197</v>
      </c>
      <c r="BV181" t="s">
        <v>233</v>
      </c>
      <c r="CA181" t="s">
        <v>194</v>
      </c>
      <c r="CB181" t="s">
        <v>194</v>
      </c>
      <c r="CC181" t="s">
        <v>264</v>
      </c>
      <c r="CD181" t="s">
        <v>265</v>
      </c>
      <c r="CE181" t="s">
        <v>266</v>
      </c>
      <c r="CF181" t="s">
        <v>215</v>
      </c>
      <c r="CH181" t="s">
        <v>214</v>
      </c>
      <c r="CI181" t="s">
        <v>214</v>
      </c>
      <c r="CJ181" t="s">
        <v>214</v>
      </c>
      <c r="CP181" t="s">
        <v>214</v>
      </c>
      <c r="CS181" t="s">
        <v>216</v>
      </c>
      <c r="CV181" t="s">
        <v>214</v>
      </c>
      <c r="CW181" t="s">
        <v>214</v>
      </c>
      <c r="CX181" t="s">
        <v>217</v>
      </c>
      <c r="CY181" t="s">
        <v>214</v>
      </c>
      <c r="DA181" t="s">
        <v>218</v>
      </c>
    </row>
    <row r="182" spans="1:105" x14ac:dyDescent="0.3">
      <c r="A182">
        <v>1227598</v>
      </c>
      <c r="B182">
        <v>77321</v>
      </c>
      <c r="C182" t="str">
        <f>"080204553443"</f>
        <v>080204553443</v>
      </c>
      <c r="D182" t="s">
        <v>753</v>
      </c>
      <c r="E182" t="s">
        <v>754</v>
      </c>
      <c r="F182" t="s">
        <v>755</v>
      </c>
      <c r="G182" s="1">
        <v>39482</v>
      </c>
      <c r="I182" t="s">
        <v>187</v>
      </c>
      <c r="J182" t="s">
        <v>188</v>
      </c>
      <c r="K182" t="s">
        <v>189</v>
      </c>
      <c r="Y182" t="str">
        <f>"2016-08-26T00:00:00"</f>
        <v>2016-08-26T00:00:00</v>
      </c>
      <c r="Z182" t="str">
        <f>"№38"</f>
        <v>№38</v>
      </c>
      <c r="AA182" t="s">
        <v>190</v>
      </c>
      <c r="AB182" t="str">
        <f>"akm_arshalu_novoaleksandrovka@mail.ru"</f>
        <v>akm_arshalu_novoaleksandrovka@mail.ru</v>
      </c>
      <c r="AC182" t="s">
        <v>225</v>
      </c>
      <c r="AD182" t="s">
        <v>192</v>
      </c>
      <c r="AE182" t="s">
        <v>193</v>
      </c>
      <c r="AF182" t="s">
        <v>194</v>
      </c>
      <c r="AH182" t="s">
        <v>195</v>
      </c>
      <c r="AI182">
        <v>2</v>
      </c>
      <c r="AJ182" t="s">
        <v>196</v>
      </c>
      <c r="AK182" t="s">
        <v>194</v>
      </c>
      <c r="AL182" t="s">
        <v>197</v>
      </c>
      <c r="AM182" t="s">
        <v>228</v>
      </c>
      <c r="AR182" t="s">
        <v>194</v>
      </c>
      <c r="AS182" t="s">
        <v>199</v>
      </c>
      <c r="AU182" t="s">
        <v>197</v>
      </c>
      <c r="AZ182" t="s">
        <v>194</v>
      </c>
      <c r="BA182" t="s">
        <v>200</v>
      </c>
      <c r="BB182" t="s">
        <v>201</v>
      </c>
      <c r="BC182" t="s">
        <v>317</v>
      </c>
      <c r="BD182" t="s">
        <v>200</v>
      </c>
      <c r="BE182" t="s">
        <v>202</v>
      </c>
      <c r="BF182" t="s">
        <v>197</v>
      </c>
      <c r="BG182" t="s">
        <v>290</v>
      </c>
      <c r="BH182" t="s">
        <v>756</v>
      </c>
      <c r="BJ182" t="s">
        <v>205</v>
      </c>
      <c r="BK182" t="s">
        <v>206</v>
      </c>
      <c r="BL182" t="s">
        <v>194</v>
      </c>
      <c r="BO182" t="s">
        <v>200</v>
      </c>
      <c r="BP182" t="s">
        <v>200</v>
      </c>
      <c r="BR182" t="s">
        <v>232</v>
      </c>
      <c r="BT182" t="s">
        <v>197</v>
      </c>
      <c r="BV182" t="s">
        <v>233</v>
      </c>
      <c r="CA182" t="s">
        <v>194</v>
      </c>
      <c r="CB182" t="s">
        <v>214</v>
      </c>
      <c r="CF182" t="s">
        <v>215</v>
      </c>
      <c r="CH182" t="s">
        <v>214</v>
      </c>
      <c r="CI182" t="s">
        <v>214</v>
      </c>
      <c r="CJ182" t="s">
        <v>214</v>
      </c>
      <c r="CP182" t="s">
        <v>214</v>
      </c>
      <c r="CS182" t="s">
        <v>216</v>
      </c>
      <c r="CV182" t="s">
        <v>214</v>
      </c>
      <c r="CW182" t="s">
        <v>214</v>
      </c>
      <c r="CX182" t="s">
        <v>217</v>
      </c>
      <c r="CY182" t="s">
        <v>214</v>
      </c>
      <c r="DA182" t="s">
        <v>218</v>
      </c>
    </row>
    <row r="183" spans="1:105" x14ac:dyDescent="0.3">
      <c r="A183">
        <v>1227550</v>
      </c>
      <c r="B183">
        <v>932738</v>
      </c>
      <c r="C183" t="str">
        <f>"070330551748"</f>
        <v>070330551748</v>
      </c>
      <c r="D183" t="s">
        <v>757</v>
      </c>
      <c r="E183" t="s">
        <v>758</v>
      </c>
      <c r="F183" t="s">
        <v>479</v>
      </c>
      <c r="G183" s="1">
        <v>39171</v>
      </c>
      <c r="I183" t="s">
        <v>187</v>
      </c>
      <c r="J183" t="s">
        <v>188</v>
      </c>
      <c r="K183" t="s">
        <v>223</v>
      </c>
      <c r="Y183" t="str">
        <f>"2018-02-20T00:00:00"</f>
        <v>2018-02-20T00:00:00</v>
      </c>
      <c r="Z183" t="str">
        <f>"№ 9"</f>
        <v>№ 9</v>
      </c>
      <c r="AA183" t="s">
        <v>190</v>
      </c>
      <c r="AB183" t="str">
        <f>"akm_arshalu_novoaleksandrovka@mail.ru"</f>
        <v>akm_arshalu_novoaleksandrovka@mail.ru</v>
      </c>
      <c r="AC183" t="s">
        <v>225</v>
      </c>
      <c r="AD183" t="s">
        <v>192</v>
      </c>
      <c r="AE183" t="s">
        <v>193</v>
      </c>
      <c r="AF183" t="s">
        <v>194</v>
      </c>
      <c r="AH183" t="s">
        <v>195</v>
      </c>
      <c r="AI183">
        <v>2</v>
      </c>
      <c r="AJ183" t="s">
        <v>196</v>
      </c>
      <c r="AK183" t="s">
        <v>194</v>
      </c>
      <c r="AL183" t="s">
        <v>197</v>
      </c>
      <c r="AM183" t="s">
        <v>228</v>
      </c>
      <c r="AR183" t="s">
        <v>214</v>
      </c>
      <c r="AU183" t="s">
        <v>197</v>
      </c>
      <c r="AZ183" t="s">
        <v>194</v>
      </c>
      <c r="BA183" t="s">
        <v>200</v>
      </c>
      <c r="BB183" t="s">
        <v>201</v>
      </c>
      <c r="BD183" t="s">
        <v>200</v>
      </c>
      <c r="BE183" t="s">
        <v>202</v>
      </c>
      <c r="BF183" t="s">
        <v>197</v>
      </c>
      <c r="BG183" t="s">
        <v>623</v>
      </c>
      <c r="BH183" t="s">
        <v>318</v>
      </c>
      <c r="BJ183" t="s">
        <v>205</v>
      </c>
      <c r="BK183" t="s">
        <v>206</v>
      </c>
      <c r="BL183" t="s">
        <v>194</v>
      </c>
      <c r="BO183" t="s">
        <v>200</v>
      </c>
      <c r="BP183" t="s">
        <v>200</v>
      </c>
      <c r="BR183" t="s">
        <v>232</v>
      </c>
      <c r="BT183" t="s">
        <v>197</v>
      </c>
      <c r="BV183" t="s">
        <v>233</v>
      </c>
      <c r="CA183" t="s">
        <v>194</v>
      </c>
      <c r="CB183" t="s">
        <v>214</v>
      </c>
      <c r="CF183" t="s">
        <v>215</v>
      </c>
      <c r="CH183" t="s">
        <v>214</v>
      </c>
      <c r="CI183" t="s">
        <v>214</v>
      </c>
      <c r="CJ183" t="s">
        <v>214</v>
      </c>
      <c r="CP183" t="s">
        <v>214</v>
      </c>
      <c r="CS183" t="s">
        <v>216</v>
      </c>
      <c r="CV183" t="s">
        <v>214</v>
      </c>
      <c r="CW183" t="s">
        <v>214</v>
      </c>
      <c r="CX183" t="s">
        <v>217</v>
      </c>
      <c r="CY183" t="s">
        <v>214</v>
      </c>
      <c r="DA183" t="s">
        <v>218</v>
      </c>
    </row>
    <row r="184" spans="1:105" x14ac:dyDescent="0.3">
      <c r="A184">
        <v>1230316</v>
      </c>
      <c r="B184">
        <v>47740</v>
      </c>
      <c r="C184" t="str">
        <f>"110409502709"</f>
        <v>110409502709</v>
      </c>
      <c r="D184" t="s">
        <v>759</v>
      </c>
      <c r="E184" t="s">
        <v>760</v>
      </c>
      <c r="F184" t="s">
        <v>761</v>
      </c>
      <c r="G184" s="1">
        <v>40642</v>
      </c>
      <c r="I184" t="s">
        <v>187</v>
      </c>
      <c r="J184" t="s">
        <v>188</v>
      </c>
      <c r="K184" t="s">
        <v>189</v>
      </c>
      <c r="Y184" t="str">
        <f>"2018-08-27T00:00:00"</f>
        <v>2018-08-27T00:00:00</v>
      </c>
      <c r="Z184" t="str">
        <f>"№21"</f>
        <v>№21</v>
      </c>
      <c r="AA184" t="s">
        <v>224</v>
      </c>
      <c r="AC184" t="s">
        <v>191</v>
      </c>
      <c r="AD184" t="s">
        <v>285</v>
      </c>
      <c r="AE184" t="s">
        <v>243</v>
      </c>
      <c r="AF184" t="s">
        <v>194</v>
      </c>
      <c r="AH184" t="s">
        <v>195</v>
      </c>
      <c r="AI184">
        <v>1</v>
      </c>
      <c r="AJ184" t="s">
        <v>196</v>
      </c>
      <c r="AK184" t="s">
        <v>194</v>
      </c>
      <c r="AL184" t="s">
        <v>197</v>
      </c>
      <c r="AM184" t="s">
        <v>228</v>
      </c>
      <c r="AR184" t="s">
        <v>194</v>
      </c>
      <c r="AS184" t="s">
        <v>199</v>
      </c>
      <c r="AU184" t="s">
        <v>197</v>
      </c>
      <c r="AZ184" t="s">
        <v>194</v>
      </c>
      <c r="BA184" t="s">
        <v>200</v>
      </c>
      <c r="BB184" t="s">
        <v>201</v>
      </c>
      <c r="BD184" t="s">
        <v>200</v>
      </c>
      <c r="BE184" t="s">
        <v>202</v>
      </c>
      <c r="BF184" t="s">
        <v>197</v>
      </c>
      <c r="BG184" t="s">
        <v>230</v>
      </c>
      <c r="BH184" t="s">
        <v>420</v>
      </c>
      <c r="BJ184" t="s">
        <v>205</v>
      </c>
      <c r="BK184" t="s">
        <v>206</v>
      </c>
      <c r="BL184" t="s">
        <v>194</v>
      </c>
      <c r="BO184" t="s">
        <v>200</v>
      </c>
      <c r="BP184" t="s">
        <v>200</v>
      </c>
      <c r="BQ184" t="s">
        <v>286</v>
      </c>
      <c r="BR184" t="s">
        <v>232</v>
      </c>
      <c r="BT184" t="s">
        <v>197</v>
      </c>
      <c r="BV184" t="s">
        <v>233</v>
      </c>
      <c r="CA184" t="s">
        <v>194</v>
      </c>
      <c r="CB184" t="s">
        <v>194</v>
      </c>
      <c r="CC184" t="s">
        <v>264</v>
      </c>
      <c r="CD184" t="s">
        <v>265</v>
      </c>
      <c r="CE184" t="s">
        <v>266</v>
      </c>
      <c r="CF184" t="s">
        <v>215</v>
      </c>
      <c r="CH184" t="s">
        <v>214</v>
      </c>
      <c r="CI184" t="s">
        <v>214</v>
      </c>
      <c r="CJ184" t="s">
        <v>214</v>
      </c>
      <c r="CP184" t="s">
        <v>214</v>
      </c>
      <c r="CS184" t="s">
        <v>216</v>
      </c>
      <c r="CV184" t="s">
        <v>214</v>
      </c>
      <c r="CW184" t="s">
        <v>214</v>
      </c>
      <c r="CX184" t="s">
        <v>217</v>
      </c>
      <c r="CY184" t="s">
        <v>214</v>
      </c>
      <c r="DA184" t="s">
        <v>218</v>
      </c>
    </row>
    <row r="185" spans="1:105" x14ac:dyDescent="0.3">
      <c r="A185">
        <v>1230327</v>
      </c>
      <c r="B185">
        <v>934367</v>
      </c>
      <c r="C185" t="str">
        <f>"100913552486"</f>
        <v>100913552486</v>
      </c>
      <c r="D185" t="s">
        <v>762</v>
      </c>
      <c r="E185" t="s">
        <v>763</v>
      </c>
      <c r="F185" t="s">
        <v>764</v>
      </c>
      <c r="G185" s="1">
        <v>40434</v>
      </c>
      <c r="I185" t="s">
        <v>187</v>
      </c>
      <c r="J185" t="s">
        <v>188</v>
      </c>
      <c r="K185" t="s">
        <v>189</v>
      </c>
      <c r="Y185" t="str">
        <f>"2017-08-07T00:00:00"</f>
        <v>2017-08-07T00:00:00</v>
      </c>
      <c r="Z185" t="str">
        <f>"№25"</f>
        <v>№25</v>
      </c>
      <c r="AA185" t="s">
        <v>224</v>
      </c>
      <c r="AC185" t="s">
        <v>191</v>
      </c>
      <c r="AD185" t="s">
        <v>261</v>
      </c>
      <c r="AE185" t="s">
        <v>193</v>
      </c>
      <c r="AF185" t="s">
        <v>194</v>
      </c>
      <c r="AH185" t="s">
        <v>195</v>
      </c>
      <c r="AI185">
        <v>2</v>
      </c>
      <c r="AJ185" t="s">
        <v>196</v>
      </c>
      <c r="AK185" t="s">
        <v>194</v>
      </c>
      <c r="AL185" t="s">
        <v>197</v>
      </c>
      <c r="AM185" t="s">
        <v>198</v>
      </c>
      <c r="AR185" t="s">
        <v>194</v>
      </c>
      <c r="AS185" t="s">
        <v>199</v>
      </c>
      <c r="AU185" t="s">
        <v>197</v>
      </c>
      <c r="AZ185" t="s">
        <v>194</v>
      </c>
      <c r="BA185" t="s">
        <v>200</v>
      </c>
      <c r="BB185" t="s">
        <v>201</v>
      </c>
      <c r="BD185" t="s">
        <v>200</v>
      </c>
      <c r="BE185" t="s">
        <v>229</v>
      </c>
      <c r="BF185" t="s">
        <v>197</v>
      </c>
      <c r="BG185" t="s">
        <v>269</v>
      </c>
      <c r="BH185" t="s">
        <v>432</v>
      </c>
      <c r="BJ185" t="s">
        <v>205</v>
      </c>
      <c r="BK185" t="s">
        <v>206</v>
      </c>
      <c r="BL185" t="s">
        <v>194</v>
      </c>
      <c r="BO185" t="s">
        <v>200</v>
      </c>
      <c r="BP185" t="s">
        <v>200</v>
      </c>
      <c r="BR185" t="s">
        <v>246</v>
      </c>
      <c r="BS185" t="s">
        <v>208</v>
      </c>
      <c r="BT185" t="s">
        <v>197</v>
      </c>
      <c r="BV185" t="s">
        <v>233</v>
      </c>
      <c r="CA185" t="s">
        <v>194</v>
      </c>
      <c r="CB185" t="s">
        <v>214</v>
      </c>
      <c r="CF185" t="s">
        <v>215</v>
      </c>
      <c r="CH185" t="s">
        <v>214</v>
      </c>
      <c r="CI185" t="s">
        <v>214</v>
      </c>
      <c r="CJ185" t="s">
        <v>214</v>
      </c>
      <c r="CP185" t="s">
        <v>214</v>
      </c>
      <c r="CS185" t="s">
        <v>216</v>
      </c>
      <c r="CV185" t="s">
        <v>214</v>
      </c>
      <c r="CW185" t="s">
        <v>214</v>
      </c>
      <c r="CX185" t="s">
        <v>217</v>
      </c>
      <c r="CY185" t="s">
        <v>214</v>
      </c>
      <c r="DA185" t="s">
        <v>218</v>
      </c>
    </row>
    <row r="186" spans="1:105" x14ac:dyDescent="0.3">
      <c r="A186">
        <v>1230329</v>
      </c>
      <c r="B186">
        <v>934369</v>
      </c>
      <c r="C186" t="str">
        <f>"101206504643"</f>
        <v>101206504643</v>
      </c>
      <c r="D186" t="s">
        <v>765</v>
      </c>
      <c r="E186" t="s">
        <v>766</v>
      </c>
      <c r="F186" t="s">
        <v>767</v>
      </c>
      <c r="G186" s="1">
        <v>40518</v>
      </c>
      <c r="I186" t="s">
        <v>187</v>
      </c>
      <c r="J186" t="s">
        <v>188</v>
      </c>
      <c r="K186" t="s">
        <v>189</v>
      </c>
      <c r="Y186" t="str">
        <f>"2017-08-07T00:00:00"</f>
        <v>2017-08-07T00:00:00</v>
      </c>
      <c r="Z186" t="str">
        <f>"№25"</f>
        <v>№25</v>
      </c>
      <c r="AA186" t="s">
        <v>224</v>
      </c>
      <c r="AC186" t="s">
        <v>191</v>
      </c>
      <c r="AD186" t="s">
        <v>261</v>
      </c>
      <c r="AE186" t="s">
        <v>193</v>
      </c>
      <c r="AF186" t="s">
        <v>194</v>
      </c>
      <c r="AH186" t="s">
        <v>195</v>
      </c>
      <c r="AI186">
        <v>2</v>
      </c>
      <c r="AJ186" t="s">
        <v>196</v>
      </c>
      <c r="AK186" t="s">
        <v>194</v>
      </c>
      <c r="AL186" t="s">
        <v>197</v>
      </c>
      <c r="AM186" t="s">
        <v>198</v>
      </c>
      <c r="AR186" t="s">
        <v>194</v>
      </c>
      <c r="AS186" t="s">
        <v>199</v>
      </c>
      <c r="AU186" t="s">
        <v>197</v>
      </c>
      <c r="AZ186" t="s">
        <v>194</v>
      </c>
      <c r="BA186" t="s">
        <v>200</v>
      </c>
      <c r="BB186" t="s">
        <v>201</v>
      </c>
      <c r="BC186" t="s">
        <v>317</v>
      </c>
      <c r="BE186" t="s">
        <v>202</v>
      </c>
      <c r="BF186" t="s">
        <v>197</v>
      </c>
      <c r="BG186" t="s">
        <v>269</v>
      </c>
      <c r="BH186" t="s">
        <v>768</v>
      </c>
      <c r="BJ186" t="s">
        <v>205</v>
      </c>
      <c r="BK186" t="s">
        <v>206</v>
      </c>
      <c r="BL186" t="s">
        <v>194</v>
      </c>
      <c r="BO186" t="s">
        <v>200</v>
      </c>
      <c r="BP186" t="s">
        <v>200</v>
      </c>
      <c r="BR186" t="s">
        <v>232</v>
      </c>
      <c r="BT186" t="s">
        <v>197</v>
      </c>
      <c r="BV186" t="s">
        <v>233</v>
      </c>
      <c r="CA186" t="s">
        <v>194</v>
      </c>
      <c r="CB186" t="s">
        <v>214</v>
      </c>
      <c r="CF186" t="s">
        <v>215</v>
      </c>
      <c r="CH186" t="s">
        <v>214</v>
      </c>
      <c r="CI186" t="s">
        <v>214</v>
      </c>
      <c r="CJ186" t="s">
        <v>214</v>
      </c>
      <c r="CP186" t="s">
        <v>214</v>
      </c>
      <c r="CS186" t="s">
        <v>216</v>
      </c>
      <c r="CV186" t="s">
        <v>214</v>
      </c>
      <c r="CW186" t="s">
        <v>214</v>
      </c>
      <c r="CX186" t="s">
        <v>217</v>
      </c>
      <c r="CY186" t="s">
        <v>214</v>
      </c>
      <c r="DA186" t="s">
        <v>218</v>
      </c>
    </row>
    <row r="187" spans="1:105" x14ac:dyDescent="0.3">
      <c r="A187">
        <v>1227533</v>
      </c>
      <c r="B187">
        <v>932732</v>
      </c>
      <c r="C187" t="str">
        <f>"080321500072"</f>
        <v>080321500072</v>
      </c>
      <c r="D187" t="s">
        <v>769</v>
      </c>
      <c r="E187" t="s">
        <v>770</v>
      </c>
      <c r="F187" t="s">
        <v>771</v>
      </c>
      <c r="G187" s="1">
        <v>39528</v>
      </c>
      <c r="I187" t="s">
        <v>187</v>
      </c>
      <c r="J187" t="s">
        <v>188</v>
      </c>
      <c r="K187" t="s">
        <v>772</v>
      </c>
      <c r="Y187" t="str">
        <f>"2017-11-07T00:00:00"</f>
        <v>2017-11-07T00:00:00</v>
      </c>
      <c r="Z187" t="str">
        <f>"№  43"</f>
        <v>№  43</v>
      </c>
      <c r="AA187" t="s">
        <v>190</v>
      </c>
      <c r="AB187" t="str">
        <f>"akm_arshalu_novoaleksandrovka@mail.ru"</f>
        <v>akm_arshalu_novoaleksandrovka@mail.ru</v>
      </c>
      <c r="AC187" t="s">
        <v>255</v>
      </c>
      <c r="AD187" t="s">
        <v>192</v>
      </c>
      <c r="AE187" t="s">
        <v>193</v>
      </c>
      <c r="AF187" t="s">
        <v>194</v>
      </c>
      <c r="AH187" t="s">
        <v>195</v>
      </c>
      <c r="AI187">
        <v>2</v>
      </c>
      <c r="AJ187" t="s">
        <v>196</v>
      </c>
      <c r="AK187" t="s">
        <v>194</v>
      </c>
      <c r="AL187" t="s">
        <v>197</v>
      </c>
      <c r="AM187" t="s">
        <v>228</v>
      </c>
      <c r="AR187" t="s">
        <v>194</v>
      </c>
      <c r="AS187" t="s">
        <v>199</v>
      </c>
      <c r="AU187" t="s">
        <v>197</v>
      </c>
      <c r="AZ187" t="s">
        <v>194</v>
      </c>
      <c r="BA187" t="s">
        <v>200</v>
      </c>
      <c r="BB187" t="s">
        <v>201</v>
      </c>
      <c r="BD187" t="s">
        <v>200</v>
      </c>
      <c r="BE187" t="s">
        <v>229</v>
      </c>
      <c r="BF187" t="s">
        <v>197</v>
      </c>
      <c r="BG187" t="s">
        <v>339</v>
      </c>
      <c r="BH187" t="s">
        <v>291</v>
      </c>
      <c r="BJ187" t="s">
        <v>205</v>
      </c>
      <c r="BK187" t="s">
        <v>206</v>
      </c>
      <c r="BL187" t="s">
        <v>194</v>
      </c>
      <c r="BO187" t="s">
        <v>216</v>
      </c>
      <c r="BP187" t="s">
        <v>216</v>
      </c>
      <c r="BR187" t="s">
        <v>246</v>
      </c>
      <c r="BS187" t="s">
        <v>208</v>
      </c>
      <c r="BT187" t="s">
        <v>197</v>
      </c>
      <c r="BV187" t="s">
        <v>233</v>
      </c>
      <c r="CA187" t="s">
        <v>194</v>
      </c>
      <c r="CB187" t="s">
        <v>214</v>
      </c>
      <c r="CF187" t="s">
        <v>215</v>
      </c>
      <c r="CH187" t="s">
        <v>214</v>
      </c>
      <c r="CI187" t="s">
        <v>214</v>
      </c>
      <c r="CJ187" t="s">
        <v>214</v>
      </c>
      <c r="CP187" t="s">
        <v>214</v>
      </c>
      <c r="CS187" t="s">
        <v>216</v>
      </c>
      <c r="CV187" t="s">
        <v>214</v>
      </c>
      <c r="CW187" t="s">
        <v>214</v>
      </c>
      <c r="CX187" t="s">
        <v>217</v>
      </c>
      <c r="CY187" t="s">
        <v>214</v>
      </c>
      <c r="DA187" t="s">
        <v>218</v>
      </c>
    </row>
    <row r="188" spans="1:105" x14ac:dyDescent="0.3">
      <c r="A188">
        <v>1230335</v>
      </c>
      <c r="B188">
        <v>934373</v>
      </c>
      <c r="C188" t="str">
        <f>"100919000098"</f>
        <v>100919000098</v>
      </c>
      <c r="D188" t="s">
        <v>773</v>
      </c>
      <c r="E188" t="s">
        <v>770</v>
      </c>
      <c r="F188" t="s">
        <v>774</v>
      </c>
      <c r="G188" s="1">
        <v>40440</v>
      </c>
      <c r="I188" t="s">
        <v>187</v>
      </c>
      <c r="J188" t="s">
        <v>775</v>
      </c>
      <c r="K188" t="s">
        <v>189</v>
      </c>
      <c r="L188" t="s">
        <v>214</v>
      </c>
      <c r="Q188" t="s">
        <v>214</v>
      </c>
      <c r="Y188" t="str">
        <f>"2017-08-07T00:00:00"</f>
        <v>2017-08-07T00:00:00</v>
      </c>
      <c r="Z188" t="str">
        <f>"№25"</f>
        <v>№25</v>
      </c>
      <c r="AA188" t="s">
        <v>224</v>
      </c>
      <c r="AC188" t="s">
        <v>191</v>
      </c>
      <c r="AD188" t="s">
        <v>261</v>
      </c>
      <c r="AE188" t="s">
        <v>193</v>
      </c>
      <c r="AF188" t="s">
        <v>194</v>
      </c>
      <c r="AH188" t="s">
        <v>195</v>
      </c>
      <c r="AI188">
        <v>2</v>
      </c>
      <c r="AJ188" t="s">
        <v>196</v>
      </c>
      <c r="AK188" t="s">
        <v>194</v>
      </c>
      <c r="AL188" t="s">
        <v>197</v>
      </c>
      <c r="AM188" t="s">
        <v>198</v>
      </c>
      <c r="AR188" t="s">
        <v>194</v>
      </c>
      <c r="AS188" t="s">
        <v>199</v>
      </c>
      <c r="AU188" t="s">
        <v>197</v>
      </c>
      <c r="AZ188" t="s">
        <v>194</v>
      </c>
      <c r="BA188" t="s">
        <v>200</v>
      </c>
      <c r="BB188" t="s">
        <v>201</v>
      </c>
      <c r="BD188" t="s">
        <v>200</v>
      </c>
      <c r="BE188" t="s">
        <v>229</v>
      </c>
      <c r="BF188" t="s">
        <v>197</v>
      </c>
      <c r="BG188" t="s">
        <v>269</v>
      </c>
      <c r="BH188" t="s">
        <v>270</v>
      </c>
      <c r="BJ188" t="s">
        <v>205</v>
      </c>
      <c r="BK188" t="s">
        <v>206</v>
      </c>
      <c r="BL188" t="s">
        <v>194</v>
      </c>
      <c r="BO188" t="s">
        <v>216</v>
      </c>
      <c r="BP188" t="s">
        <v>216</v>
      </c>
      <c r="BQ188" t="s">
        <v>271</v>
      </c>
      <c r="BR188" t="s">
        <v>232</v>
      </c>
      <c r="BT188" t="s">
        <v>197</v>
      </c>
      <c r="BV188" t="s">
        <v>233</v>
      </c>
      <c r="CA188" t="s">
        <v>194</v>
      </c>
      <c r="CB188" t="s">
        <v>214</v>
      </c>
      <c r="CF188" t="s">
        <v>215</v>
      </c>
      <c r="CH188" t="s">
        <v>214</v>
      </c>
      <c r="CI188" t="s">
        <v>214</v>
      </c>
      <c r="CJ188" t="s">
        <v>214</v>
      </c>
      <c r="CP188" t="s">
        <v>214</v>
      </c>
      <c r="CS188" t="s">
        <v>216</v>
      </c>
      <c r="CV188" t="s">
        <v>214</v>
      </c>
      <c r="CW188" t="s">
        <v>214</v>
      </c>
      <c r="CX188" t="s">
        <v>217</v>
      </c>
      <c r="CY188" t="s">
        <v>214</v>
      </c>
      <c r="DA188" t="s">
        <v>218</v>
      </c>
    </row>
    <row r="189" spans="1:105" x14ac:dyDescent="0.3">
      <c r="A189">
        <v>1227478</v>
      </c>
      <c r="B189">
        <v>932693</v>
      </c>
      <c r="C189" t="str">
        <f>"080912550745"</f>
        <v>080912550745</v>
      </c>
      <c r="D189" t="s">
        <v>776</v>
      </c>
      <c r="E189" t="s">
        <v>777</v>
      </c>
      <c r="F189" t="s">
        <v>778</v>
      </c>
      <c r="G189" s="1">
        <v>39703</v>
      </c>
      <c r="I189" t="s">
        <v>187</v>
      </c>
      <c r="J189" t="s">
        <v>188</v>
      </c>
      <c r="K189" t="s">
        <v>373</v>
      </c>
      <c r="Y189" t="str">
        <f>"2014-09-01T00:00:00"</f>
        <v>2014-09-01T00:00:00</v>
      </c>
      <c r="Z189" t="str">
        <f>"№76"</f>
        <v>№76</v>
      </c>
      <c r="AA189" t="s">
        <v>224</v>
      </c>
      <c r="AC189" t="s">
        <v>225</v>
      </c>
      <c r="AD189" t="s">
        <v>226</v>
      </c>
      <c r="AE189" t="s">
        <v>227</v>
      </c>
      <c r="AF189" t="s">
        <v>194</v>
      </c>
      <c r="AH189" t="s">
        <v>195</v>
      </c>
      <c r="AI189">
        <v>2</v>
      </c>
      <c r="AJ189" t="s">
        <v>196</v>
      </c>
      <c r="AK189" t="s">
        <v>194</v>
      </c>
      <c r="AL189" t="s">
        <v>197</v>
      </c>
      <c r="AM189" t="s">
        <v>228</v>
      </c>
      <c r="AR189" t="s">
        <v>194</v>
      </c>
      <c r="AS189" t="s">
        <v>199</v>
      </c>
      <c r="AU189" t="s">
        <v>197</v>
      </c>
      <c r="AZ189" t="s">
        <v>194</v>
      </c>
      <c r="BA189" t="s">
        <v>200</v>
      </c>
      <c r="BB189" t="s">
        <v>201</v>
      </c>
      <c r="BD189" t="s">
        <v>200</v>
      </c>
      <c r="BE189" t="s">
        <v>202</v>
      </c>
      <c r="BF189" t="s">
        <v>197</v>
      </c>
      <c r="BG189" t="s">
        <v>230</v>
      </c>
      <c r="BH189" t="s">
        <v>420</v>
      </c>
      <c r="BJ189" t="s">
        <v>205</v>
      </c>
      <c r="BK189" t="s">
        <v>206</v>
      </c>
      <c r="BL189" t="s">
        <v>194</v>
      </c>
      <c r="BO189" t="s">
        <v>216</v>
      </c>
      <c r="BP189" t="s">
        <v>216</v>
      </c>
      <c r="BR189" t="s">
        <v>207</v>
      </c>
      <c r="BS189" t="s">
        <v>208</v>
      </c>
      <c r="BT189" t="s">
        <v>197</v>
      </c>
      <c r="BV189" t="s">
        <v>233</v>
      </c>
      <c r="CA189" t="s">
        <v>194</v>
      </c>
      <c r="CB189" t="s">
        <v>214</v>
      </c>
      <c r="CF189" t="s">
        <v>215</v>
      </c>
      <c r="CH189" t="s">
        <v>214</v>
      </c>
      <c r="CI189" t="s">
        <v>214</v>
      </c>
      <c r="CJ189" t="s">
        <v>214</v>
      </c>
      <c r="CP189" t="s">
        <v>214</v>
      </c>
      <c r="CS189" t="s">
        <v>216</v>
      </c>
      <c r="CV189" t="s">
        <v>214</v>
      </c>
      <c r="CW189" t="s">
        <v>214</v>
      </c>
      <c r="CX189" t="s">
        <v>217</v>
      </c>
      <c r="CY189" t="s">
        <v>214</v>
      </c>
      <c r="DA189" t="s">
        <v>218</v>
      </c>
    </row>
    <row r="190" spans="1:105" x14ac:dyDescent="0.3">
      <c r="A190">
        <v>1227470</v>
      </c>
      <c r="B190">
        <v>932689</v>
      </c>
      <c r="C190" t="str">
        <f>"080525551722"</f>
        <v>080525551722</v>
      </c>
      <c r="D190" t="s">
        <v>779</v>
      </c>
      <c r="E190" t="s">
        <v>780</v>
      </c>
      <c r="F190" t="s">
        <v>781</v>
      </c>
      <c r="G190" s="1">
        <v>39593</v>
      </c>
      <c r="I190" t="s">
        <v>187</v>
      </c>
      <c r="J190" t="s">
        <v>188</v>
      </c>
      <c r="K190" t="s">
        <v>189</v>
      </c>
      <c r="Y190" t="str">
        <f>"2014-09-01T00:00:00"</f>
        <v>2014-09-01T00:00:00</v>
      </c>
      <c r="Z190" t="str">
        <f>"№76"</f>
        <v>№76</v>
      </c>
      <c r="AA190" t="s">
        <v>224</v>
      </c>
      <c r="AC190" t="s">
        <v>237</v>
      </c>
      <c r="AD190" t="s">
        <v>226</v>
      </c>
      <c r="AE190" t="s">
        <v>227</v>
      </c>
      <c r="AF190" t="s">
        <v>194</v>
      </c>
      <c r="AH190" t="s">
        <v>195</v>
      </c>
      <c r="AI190">
        <v>2</v>
      </c>
      <c r="AJ190" t="s">
        <v>196</v>
      </c>
      <c r="AK190" t="s">
        <v>194</v>
      </c>
      <c r="AL190" t="s">
        <v>197</v>
      </c>
      <c r="AM190" t="s">
        <v>228</v>
      </c>
      <c r="AR190" t="s">
        <v>194</v>
      </c>
      <c r="AS190" t="s">
        <v>199</v>
      </c>
      <c r="AU190" t="s">
        <v>197</v>
      </c>
      <c r="AZ190" t="s">
        <v>194</v>
      </c>
      <c r="BA190" t="s">
        <v>200</v>
      </c>
      <c r="BB190" t="s">
        <v>201</v>
      </c>
      <c r="BD190" t="s">
        <v>200</v>
      </c>
      <c r="BE190" t="s">
        <v>202</v>
      </c>
      <c r="BF190" t="s">
        <v>197</v>
      </c>
      <c r="BG190" t="s">
        <v>238</v>
      </c>
      <c r="BH190">
        <v>3</v>
      </c>
      <c r="BJ190" t="s">
        <v>205</v>
      </c>
      <c r="BK190" t="s">
        <v>206</v>
      </c>
      <c r="BL190" t="s">
        <v>194</v>
      </c>
      <c r="BO190" t="s">
        <v>216</v>
      </c>
      <c r="BP190" t="s">
        <v>216</v>
      </c>
      <c r="BR190" t="s">
        <v>232</v>
      </c>
      <c r="BT190" t="s">
        <v>197</v>
      </c>
      <c r="BV190" t="s">
        <v>233</v>
      </c>
      <c r="CA190" t="s">
        <v>194</v>
      </c>
      <c r="CB190" t="s">
        <v>214</v>
      </c>
      <c r="CF190" t="s">
        <v>215</v>
      </c>
      <c r="CH190" t="s">
        <v>214</v>
      </c>
      <c r="CI190" t="s">
        <v>214</v>
      </c>
      <c r="CJ190" t="s">
        <v>214</v>
      </c>
      <c r="CP190" t="s">
        <v>214</v>
      </c>
      <c r="CS190" t="s">
        <v>216</v>
      </c>
      <c r="CV190" t="s">
        <v>214</v>
      </c>
      <c r="CW190" t="s">
        <v>214</v>
      </c>
      <c r="CX190" t="s">
        <v>217</v>
      </c>
      <c r="CY190" t="s">
        <v>214</v>
      </c>
      <c r="DA190" t="s">
        <v>218</v>
      </c>
    </row>
    <row r="191" spans="1:105" x14ac:dyDescent="0.3">
      <c r="A191">
        <v>1230415</v>
      </c>
      <c r="B191">
        <v>934426</v>
      </c>
      <c r="C191" t="str">
        <f>"110221602921"</f>
        <v>110221602921</v>
      </c>
      <c r="D191" t="s">
        <v>782</v>
      </c>
      <c r="E191" t="s">
        <v>783</v>
      </c>
      <c r="F191" t="s">
        <v>714</v>
      </c>
      <c r="G191" s="1">
        <v>40595</v>
      </c>
      <c r="I191" t="s">
        <v>222</v>
      </c>
      <c r="J191" t="s">
        <v>188</v>
      </c>
      <c r="K191" t="s">
        <v>189</v>
      </c>
      <c r="Y191" t="str">
        <f>"2017-08-21T00:00:00"</f>
        <v>2017-08-21T00:00:00</v>
      </c>
      <c r="Z191" t="str">
        <f>"№27"</f>
        <v>№27</v>
      </c>
      <c r="AA191" t="s">
        <v>224</v>
      </c>
      <c r="AC191" t="s">
        <v>191</v>
      </c>
      <c r="AD191" t="s">
        <v>261</v>
      </c>
      <c r="AE191" t="s">
        <v>243</v>
      </c>
      <c r="AF191" t="s">
        <v>194</v>
      </c>
      <c r="AH191" t="s">
        <v>195</v>
      </c>
      <c r="AI191">
        <v>2</v>
      </c>
      <c r="AJ191" t="s">
        <v>196</v>
      </c>
      <c r="AK191" t="s">
        <v>194</v>
      </c>
      <c r="AL191" t="s">
        <v>197</v>
      </c>
      <c r="AM191" t="s">
        <v>228</v>
      </c>
      <c r="AR191" t="s">
        <v>194</v>
      </c>
      <c r="AS191" t="s">
        <v>199</v>
      </c>
      <c r="AU191" t="s">
        <v>197</v>
      </c>
      <c r="AZ191" t="s">
        <v>194</v>
      </c>
      <c r="BA191" t="s">
        <v>200</v>
      </c>
      <c r="BB191" t="s">
        <v>201</v>
      </c>
      <c r="BC191" t="s">
        <v>317</v>
      </c>
      <c r="BD191" t="s">
        <v>200</v>
      </c>
      <c r="BE191" t="s">
        <v>229</v>
      </c>
      <c r="BF191" t="s">
        <v>197</v>
      </c>
      <c r="BG191" t="s">
        <v>269</v>
      </c>
      <c r="BH191" t="s">
        <v>591</v>
      </c>
      <c r="BJ191" t="s">
        <v>205</v>
      </c>
      <c r="BK191" t="s">
        <v>206</v>
      </c>
      <c r="BL191" t="s">
        <v>194</v>
      </c>
      <c r="BO191" t="s">
        <v>200</v>
      </c>
      <c r="BP191" t="s">
        <v>200</v>
      </c>
      <c r="BR191" t="s">
        <v>232</v>
      </c>
      <c r="BT191" t="s">
        <v>197</v>
      </c>
      <c r="BV191" t="s">
        <v>233</v>
      </c>
      <c r="CA191" t="s">
        <v>194</v>
      </c>
      <c r="CB191" t="s">
        <v>214</v>
      </c>
      <c r="CF191" t="s">
        <v>215</v>
      </c>
      <c r="CH191" t="s">
        <v>214</v>
      </c>
      <c r="CI191" t="s">
        <v>214</v>
      </c>
      <c r="CJ191" t="s">
        <v>214</v>
      </c>
      <c r="CP191" t="s">
        <v>214</v>
      </c>
      <c r="CS191" t="s">
        <v>216</v>
      </c>
      <c r="CV191" t="s">
        <v>214</v>
      </c>
      <c r="CW191" t="s">
        <v>214</v>
      </c>
      <c r="CX191" t="s">
        <v>217</v>
      </c>
      <c r="CY191" t="s">
        <v>214</v>
      </c>
      <c r="DA191" t="s">
        <v>218</v>
      </c>
    </row>
    <row r="192" spans="1:105" x14ac:dyDescent="0.3">
      <c r="A192">
        <v>1230463</v>
      </c>
      <c r="B192">
        <v>934455</v>
      </c>
      <c r="C192" t="str">
        <f>"110101503920"</f>
        <v>110101503920</v>
      </c>
      <c r="D192" t="s">
        <v>784</v>
      </c>
      <c r="E192" t="s">
        <v>419</v>
      </c>
      <c r="F192" t="s">
        <v>785</v>
      </c>
      <c r="G192" s="1">
        <v>40544</v>
      </c>
      <c r="I192" t="s">
        <v>187</v>
      </c>
      <c r="J192" t="s">
        <v>188</v>
      </c>
      <c r="K192" t="s">
        <v>338</v>
      </c>
      <c r="Y192" t="str">
        <f>"2016-09-09T00:00:00"</f>
        <v>2016-09-09T00:00:00</v>
      </c>
      <c r="Z192" t="str">
        <f>"№48"</f>
        <v>№48</v>
      </c>
      <c r="AA192" t="s">
        <v>224</v>
      </c>
      <c r="AC192" t="s">
        <v>191</v>
      </c>
      <c r="AD192" t="s">
        <v>261</v>
      </c>
      <c r="AE192" t="s">
        <v>227</v>
      </c>
      <c r="AF192" t="s">
        <v>194</v>
      </c>
      <c r="AH192" t="s">
        <v>195</v>
      </c>
      <c r="AI192">
        <v>2</v>
      </c>
      <c r="AJ192" t="s">
        <v>196</v>
      </c>
      <c r="AK192" t="s">
        <v>194</v>
      </c>
      <c r="AL192" t="s">
        <v>197</v>
      </c>
      <c r="AM192" t="s">
        <v>228</v>
      </c>
      <c r="AR192" t="s">
        <v>194</v>
      </c>
      <c r="AS192" t="s">
        <v>199</v>
      </c>
      <c r="AU192" t="s">
        <v>197</v>
      </c>
      <c r="AZ192" t="s">
        <v>194</v>
      </c>
      <c r="BA192" t="s">
        <v>200</v>
      </c>
      <c r="BB192" t="s">
        <v>201</v>
      </c>
      <c r="BD192" t="s">
        <v>200</v>
      </c>
      <c r="BE192" t="s">
        <v>202</v>
      </c>
      <c r="BF192" t="s">
        <v>197</v>
      </c>
      <c r="BG192" t="s">
        <v>238</v>
      </c>
      <c r="BH192">
        <v>3</v>
      </c>
      <c r="BJ192" t="s">
        <v>205</v>
      </c>
      <c r="BK192" t="s">
        <v>206</v>
      </c>
      <c r="BL192" t="s">
        <v>194</v>
      </c>
      <c r="BO192" t="s">
        <v>216</v>
      </c>
      <c r="BP192" t="s">
        <v>216</v>
      </c>
      <c r="BR192" t="s">
        <v>246</v>
      </c>
      <c r="BS192" t="s">
        <v>208</v>
      </c>
      <c r="BT192" t="s">
        <v>197</v>
      </c>
      <c r="BV192" t="s">
        <v>233</v>
      </c>
      <c r="CA192" t="s">
        <v>194</v>
      </c>
      <c r="CB192" t="s">
        <v>214</v>
      </c>
      <c r="CF192" t="s">
        <v>215</v>
      </c>
      <c r="CH192" t="s">
        <v>214</v>
      </c>
      <c r="CI192" t="s">
        <v>214</v>
      </c>
      <c r="CJ192" t="s">
        <v>214</v>
      </c>
      <c r="CP192" t="s">
        <v>214</v>
      </c>
      <c r="CS192" t="s">
        <v>216</v>
      </c>
      <c r="CV192" t="s">
        <v>214</v>
      </c>
      <c r="CW192" t="s">
        <v>214</v>
      </c>
      <c r="CX192" t="s">
        <v>217</v>
      </c>
      <c r="CY192" t="s">
        <v>214</v>
      </c>
      <c r="DA192" t="s">
        <v>218</v>
      </c>
    </row>
    <row r="193" spans="1:105" x14ac:dyDescent="0.3">
      <c r="A193">
        <v>1227467</v>
      </c>
      <c r="B193">
        <v>932688</v>
      </c>
      <c r="C193" t="str">
        <f>"090420653595"</f>
        <v>090420653595</v>
      </c>
      <c r="D193" t="s">
        <v>786</v>
      </c>
      <c r="E193" t="s">
        <v>258</v>
      </c>
      <c r="F193" t="s">
        <v>236</v>
      </c>
      <c r="G193" s="1">
        <v>39923</v>
      </c>
      <c r="I193" t="s">
        <v>222</v>
      </c>
      <c r="J193" t="s">
        <v>188</v>
      </c>
      <c r="K193" t="s">
        <v>223</v>
      </c>
      <c r="Y193" t="str">
        <f>"2014-09-01T00:00:00"</f>
        <v>2014-09-01T00:00:00</v>
      </c>
      <c r="Z193" t="str">
        <f>"№76"</f>
        <v>№76</v>
      </c>
      <c r="AA193" t="s">
        <v>190</v>
      </c>
      <c r="AC193" t="s">
        <v>225</v>
      </c>
      <c r="AD193" t="s">
        <v>242</v>
      </c>
      <c r="AE193" t="s">
        <v>193</v>
      </c>
      <c r="AF193" t="s">
        <v>194</v>
      </c>
      <c r="AH193" t="s">
        <v>195</v>
      </c>
      <c r="AI193">
        <v>1</v>
      </c>
      <c r="AJ193" t="s">
        <v>196</v>
      </c>
      <c r="AK193" t="s">
        <v>194</v>
      </c>
      <c r="AL193" t="s">
        <v>197</v>
      </c>
      <c r="AM193" t="s">
        <v>198</v>
      </c>
      <c r="AR193" t="s">
        <v>194</v>
      </c>
      <c r="AS193" t="s">
        <v>199</v>
      </c>
      <c r="AU193" t="s">
        <v>197</v>
      </c>
      <c r="AZ193" t="s">
        <v>194</v>
      </c>
      <c r="BA193" t="s">
        <v>200</v>
      </c>
      <c r="BB193" t="s">
        <v>201</v>
      </c>
      <c r="BD193" t="s">
        <v>200</v>
      </c>
      <c r="BE193" t="s">
        <v>202</v>
      </c>
      <c r="BF193" t="s">
        <v>197</v>
      </c>
      <c r="BG193" t="s">
        <v>230</v>
      </c>
      <c r="BH193" t="s">
        <v>516</v>
      </c>
      <c r="BJ193" t="s">
        <v>205</v>
      </c>
      <c r="BK193" t="s">
        <v>206</v>
      </c>
      <c r="BL193" t="s">
        <v>194</v>
      </c>
      <c r="BO193" t="s">
        <v>216</v>
      </c>
      <c r="BP193" t="s">
        <v>216</v>
      </c>
      <c r="BR193" t="s">
        <v>232</v>
      </c>
      <c r="BT193" t="s">
        <v>197</v>
      </c>
      <c r="BV193" t="s">
        <v>233</v>
      </c>
      <c r="CA193" t="s">
        <v>214</v>
      </c>
      <c r="CB193" t="s">
        <v>214</v>
      </c>
      <c r="CF193" t="s">
        <v>215</v>
      </c>
      <c r="CH193" t="s">
        <v>214</v>
      </c>
      <c r="CI193" t="s">
        <v>214</v>
      </c>
      <c r="CJ193" t="s">
        <v>214</v>
      </c>
      <c r="CP193" t="s">
        <v>214</v>
      </c>
      <c r="CS193" t="s">
        <v>216</v>
      </c>
      <c r="CV193" t="s">
        <v>214</v>
      </c>
      <c r="CW193" t="s">
        <v>214</v>
      </c>
      <c r="CX193" t="s">
        <v>217</v>
      </c>
      <c r="CY193" t="s">
        <v>214</v>
      </c>
      <c r="DA193" t="s">
        <v>218</v>
      </c>
    </row>
    <row r="194" spans="1:105" x14ac:dyDescent="0.3">
      <c r="A194">
        <v>1227458</v>
      </c>
      <c r="B194">
        <v>932682</v>
      </c>
      <c r="C194" t="str">
        <f>"090329653608"</f>
        <v>090329653608</v>
      </c>
      <c r="D194" t="s">
        <v>787</v>
      </c>
      <c r="E194" t="s">
        <v>639</v>
      </c>
      <c r="F194" t="s">
        <v>582</v>
      </c>
      <c r="G194" s="1">
        <v>39901</v>
      </c>
      <c r="I194" t="s">
        <v>222</v>
      </c>
      <c r="J194" t="s">
        <v>188</v>
      </c>
      <c r="K194" t="s">
        <v>223</v>
      </c>
      <c r="Y194" t="str">
        <f>"2014-09-01T00:00:00"</f>
        <v>2014-09-01T00:00:00</v>
      </c>
      <c r="Z194" t="str">
        <f>"№76"</f>
        <v>№76</v>
      </c>
      <c r="AA194" t="s">
        <v>224</v>
      </c>
      <c r="AC194" t="s">
        <v>225</v>
      </c>
      <c r="AD194" t="s">
        <v>226</v>
      </c>
      <c r="AE194" t="s">
        <v>193</v>
      </c>
      <c r="AF194" t="s">
        <v>194</v>
      </c>
      <c r="AH194" t="s">
        <v>195</v>
      </c>
      <c r="AI194">
        <v>2</v>
      </c>
      <c r="AJ194" t="s">
        <v>196</v>
      </c>
      <c r="AK194" t="s">
        <v>194</v>
      </c>
      <c r="AL194" t="s">
        <v>197</v>
      </c>
      <c r="AM194" t="s">
        <v>198</v>
      </c>
      <c r="AR194" t="s">
        <v>194</v>
      </c>
      <c r="AS194" t="s">
        <v>199</v>
      </c>
      <c r="AU194" t="s">
        <v>197</v>
      </c>
      <c r="AZ194" t="s">
        <v>194</v>
      </c>
      <c r="BA194" t="s">
        <v>200</v>
      </c>
      <c r="BB194" t="s">
        <v>201</v>
      </c>
      <c r="BD194" t="s">
        <v>200</v>
      </c>
      <c r="BE194" t="s">
        <v>202</v>
      </c>
      <c r="BF194" t="s">
        <v>197</v>
      </c>
      <c r="BG194" t="s">
        <v>238</v>
      </c>
      <c r="BH194">
        <v>3</v>
      </c>
      <c r="BJ194" t="s">
        <v>205</v>
      </c>
      <c r="BK194" t="s">
        <v>206</v>
      </c>
      <c r="BL194" t="s">
        <v>194</v>
      </c>
      <c r="BO194" t="s">
        <v>200</v>
      </c>
      <c r="BP194" t="s">
        <v>200</v>
      </c>
      <c r="BR194" t="s">
        <v>207</v>
      </c>
      <c r="BS194" t="s">
        <v>208</v>
      </c>
      <c r="BT194" t="s">
        <v>197</v>
      </c>
      <c r="BV194" t="s">
        <v>233</v>
      </c>
      <c r="CA194" t="s">
        <v>194</v>
      </c>
      <c r="CB194" t="s">
        <v>214</v>
      </c>
      <c r="CF194" t="s">
        <v>215</v>
      </c>
      <c r="CH194" t="s">
        <v>214</v>
      </c>
      <c r="CI194" t="s">
        <v>214</v>
      </c>
      <c r="CJ194" t="s">
        <v>214</v>
      </c>
      <c r="CP194" t="s">
        <v>214</v>
      </c>
      <c r="CS194" t="s">
        <v>216</v>
      </c>
      <c r="CV194" t="s">
        <v>214</v>
      </c>
      <c r="CW194" t="s">
        <v>214</v>
      </c>
      <c r="CX194" t="s">
        <v>217</v>
      </c>
      <c r="CY194" t="s">
        <v>214</v>
      </c>
      <c r="DA194" t="s">
        <v>218</v>
      </c>
    </row>
    <row r="195" spans="1:105" x14ac:dyDescent="0.3">
      <c r="A195">
        <v>1227425</v>
      </c>
      <c r="B195">
        <v>932659</v>
      </c>
      <c r="C195" t="str">
        <f>"090106653578"</f>
        <v>090106653578</v>
      </c>
      <c r="D195" t="s">
        <v>788</v>
      </c>
      <c r="E195" t="s">
        <v>258</v>
      </c>
      <c r="F195" t="s">
        <v>439</v>
      </c>
      <c r="G195" s="1">
        <v>39819</v>
      </c>
      <c r="I195" t="s">
        <v>222</v>
      </c>
      <c r="J195" t="s">
        <v>188</v>
      </c>
      <c r="K195" t="s">
        <v>223</v>
      </c>
      <c r="Y195" t="str">
        <f>"2014-09-01T00:00:00"</f>
        <v>2014-09-01T00:00:00</v>
      </c>
      <c r="Z195" t="str">
        <f>"№76"</f>
        <v>№76</v>
      </c>
      <c r="AA195" t="s">
        <v>190</v>
      </c>
      <c r="AC195" t="s">
        <v>237</v>
      </c>
      <c r="AD195" t="s">
        <v>226</v>
      </c>
      <c r="AE195" t="s">
        <v>193</v>
      </c>
      <c r="AF195" t="s">
        <v>194</v>
      </c>
      <c r="AH195" t="s">
        <v>195</v>
      </c>
      <c r="AI195">
        <v>2</v>
      </c>
      <c r="AJ195" t="s">
        <v>196</v>
      </c>
      <c r="AK195" t="s">
        <v>194</v>
      </c>
      <c r="AL195" t="s">
        <v>197</v>
      </c>
      <c r="AM195" t="s">
        <v>198</v>
      </c>
      <c r="AR195" t="s">
        <v>194</v>
      </c>
      <c r="AS195" t="s">
        <v>199</v>
      </c>
      <c r="AU195" t="s">
        <v>197</v>
      </c>
      <c r="AZ195" t="s">
        <v>194</v>
      </c>
      <c r="BA195" t="s">
        <v>200</v>
      </c>
      <c r="BB195" t="s">
        <v>201</v>
      </c>
      <c r="BD195" t="s">
        <v>200</v>
      </c>
      <c r="BE195" t="s">
        <v>229</v>
      </c>
      <c r="BF195" t="s">
        <v>197</v>
      </c>
      <c r="BG195" t="s">
        <v>238</v>
      </c>
      <c r="BH195">
        <v>4</v>
      </c>
      <c r="BJ195" t="s">
        <v>205</v>
      </c>
      <c r="BK195" t="s">
        <v>206</v>
      </c>
      <c r="BL195" t="s">
        <v>194</v>
      </c>
      <c r="BO195" t="s">
        <v>216</v>
      </c>
      <c r="BP195" t="s">
        <v>216</v>
      </c>
      <c r="BR195" t="s">
        <v>232</v>
      </c>
      <c r="BT195" t="s">
        <v>197</v>
      </c>
      <c r="BV195" t="s">
        <v>233</v>
      </c>
      <c r="CA195" t="s">
        <v>194</v>
      </c>
      <c r="CB195" t="s">
        <v>214</v>
      </c>
      <c r="CF195" t="s">
        <v>215</v>
      </c>
      <c r="CH195" t="s">
        <v>214</v>
      </c>
      <c r="CI195" t="s">
        <v>214</v>
      </c>
      <c r="CJ195" t="s">
        <v>214</v>
      </c>
      <c r="CP195" t="s">
        <v>214</v>
      </c>
      <c r="CS195" t="s">
        <v>216</v>
      </c>
      <c r="CV195" t="s">
        <v>214</v>
      </c>
      <c r="CW195" t="s">
        <v>214</v>
      </c>
      <c r="CX195" t="s">
        <v>217</v>
      </c>
      <c r="CY195" t="s">
        <v>214</v>
      </c>
      <c r="DA195" t="s">
        <v>218</v>
      </c>
    </row>
    <row r="196" spans="1:105" x14ac:dyDescent="0.3">
      <c r="A196">
        <v>1227364</v>
      </c>
      <c r="B196">
        <v>932624</v>
      </c>
      <c r="C196" t="str">
        <f>"091117554700"</f>
        <v>091117554700</v>
      </c>
      <c r="D196" t="s">
        <v>789</v>
      </c>
      <c r="E196" t="s">
        <v>363</v>
      </c>
      <c r="F196" t="s">
        <v>390</v>
      </c>
      <c r="G196" s="1">
        <v>40134</v>
      </c>
      <c r="I196" t="s">
        <v>187</v>
      </c>
      <c r="J196" t="s">
        <v>188</v>
      </c>
      <c r="K196" t="s">
        <v>223</v>
      </c>
      <c r="Y196" t="str">
        <f>"2014-09-01T00:00:00"</f>
        <v>2014-09-01T00:00:00</v>
      </c>
      <c r="Z196" t="str">
        <f>"№76"</f>
        <v>№76</v>
      </c>
      <c r="AA196" t="s">
        <v>224</v>
      </c>
      <c r="AC196" t="s">
        <v>225</v>
      </c>
      <c r="AD196" t="s">
        <v>242</v>
      </c>
      <c r="AE196" t="s">
        <v>227</v>
      </c>
      <c r="AF196" t="s">
        <v>194</v>
      </c>
      <c r="AH196" t="s">
        <v>195</v>
      </c>
      <c r="AI196">
        <v>2</v>
      </c>
      <c r="AJ196" t="s">
        <v>196</v>
      </c>
      <c r="AK196" t="s">
        <v>194</v>
      </c>
      <c r="AL196" t="s">
        <v>197</v>
      </c>
      <c r="AM196" t="s">
        <v>228</v>
      </c>
      <c r="AR196" t="s">
        <v>194</v>
      </c>
      <c r="AS196" t="s">
        <v>199</v>
      </c>
      <c r="AU196" t="s">
        <v>197</v>
      </c>
      <c r="AZ196" t="s">
        <v>194</v>
      </c>
      <c r="BA196" t="s">
        <v>200</v>
      </c>
      <c r="BB196" t="s">
        <v>201</v>
      </c>
      <c r="BD196" t="s">
        <v>200</v>
      </c>
      <c r="BE196" t="s">
        <v>202</v>
      </c>
      <c r="BF196" t="s">
        <v>197</v>
      </c>
      <c r="BG196" t="s">
        <v>230</v>
      </c>
      <c r="BH196" t="s">
        <v>420</v>
      </c>
      <c r="BJ196" t="s">
        <v>205</v>
      </c>
      <c r="BK196" t="s">
        <v>206</v>
      </c>
      <c r="BL196" t="s">
        <v>194</v>
      </c>
      <c r="BO196" t="s">
        <v>216</v>
      </c>
      <c r="BP196" t="s">
        <v>216</v>
      </c>
      <c r="BR196" t="s">
        <v>232</v>
      </c>
      <c r="BT196" t="s">
        <v>197</v>
      </c>
      <c r="BV196" t="s">
        <v>233</v>
      </c>
      <c r="CA196" t="s">
        <v>194</v>
      </c>
      <c r="CB196" t="s">
        <v>214</v>
      </c>
      <c r="CF196" t="s">
        <v>215</v>
      </c>
      <c r="CH196" t="s">
        <v>214</v>
      </c>
      <c r="CI196" t="s">
        <v>214</v>
      </c>
      <c r="CJ196" t="s">
        <v>214</v>
      </c>
      <c r="CP196" t="s">
        <v>214</v>
      </c>
      <c r="CS196" t="s">
        <v>216</v>
      </c>
      <c r="CV196" t="s">
        <v>214</v>
      </c>
      <c r="CW196" t="s">
        <v>214</v>
      </c>
      <c r="CX196" t="s">
        <v>217</v>
      </c>
      <c r="CY196" t="s">
        <v>214</v>
      </c>
      <c r="DA196" t="s">
        <v>218</v>
      </c>
    </row>
    <row r="197" spans="1:105" x14ac:dyDescent="0.3">
      <c r="A197">
        <v>1227248</v>
      </c>
      <c r="B197">
        <v>615835</v>
      </c>
      <c r="C197" t="str">
        <f>"111227502188"</f>
        <v>111227502188</v>
      </c>
      <c r="D197" t="s">
        <v>790</v>
      </c>
      <c r="E197" t="s">
        <v>791</v>
      </c>
      <c r="F197" t="s">
        <v>792</v>
      </c>
      <c r="G197" s="1">
        <v>40904</v>
      </c>
      <c r="I197" t="s">
        <v>187</v>
      </c>
      <c r="J197" t="s">
        <v>188</v>
      </c>
      <c r="K197" t="s">
        <v>223</v>
      </c>
      <c r="Y197" t="str">
        <f>"2018-08-06T00:00:00"</f>
        <v>2018-08-06T00:00:00</v>
      </c>
      <c r="Z197" t="str">
        <f>"№19"</f>
        <v>№19</v>
      </c>
      <c r="AA197" t="s">
        <v>224</v>
      </c>
      <c r="AC197" t="s">
        <v>225</v>
      </c>
      <c r="AD197" t="s">
        <v>285</v>
      </c>
      <c r="AE197" t="s">
        <v>227</v>
      </c>
      <c r="AF197" t="s">
        <v>194</v>
      </c>
      <c r="AH197" t="s">
        <v>195</v>
      </c>
      <c r="AI197">
        <v>2</v>
      </c>
      <c r="AJ197" t="s">
        <v>196</v>
      </c>
      <c r="AK197" t="s">
        <v>194</v>
      </c>
      <c r="AL197" t="s">
        <v>197</v>
      </c>
      <c r="AM197" t="s">
        <v>228</v>
      </c>
      <c r="AR197" t="s">
        <v>194</v>
      </c>
      <c r="AS197" t="s">
        <v>199</v>
      </c>
      <c r="AU197" t="s">
        <v>197</v>
      </c>
      <c r="AZ197" t="s">
        <v>194</v>
      </c>
      <c r="BA197" t="s">
        <v>200</v>
      </c>
      <c r="BB197" t="s">
        <v>201</v>
      </c>
      <c r="BD197" t="s">
        <v>200</v>
      </c>
      <c r="BE197" t="s">
        <v>229</v>
      </c>
      <c r="BF197" t="s">
        <v>197</v>
      </c>
      <c r="BG197" t="s">
        <v>238</v>
      </c>
      <c r="BH197">
        <v>4</v>
      </c>
      <c r="BJ197" t="s">
        <v>205</v>
      </c>
      <c r="BK197" t="s">
        <v>206</v>
      </c>
      <c r="BL197" t="s">
        <v>194</v>
      </c>
      <c r="BO197" t="s">
        <v>216</v>
      </c>
      <c r="BP197" t="s">
        <v>216</v>
      </c>
      <c r="BQ197" t="s">
        <v>286</v>
      </c>
      <c r="BR197" t="s">
        <v>232</v>
      </c>
      <c r="BT197" t="s">
        <v>197</v>
      </c>
      <c r="BV197" t="s">
        <v>233</v>
      </c>
      <c r="CA197" t="s">
        <v>194</v>
      </c>
      <c r="CB197" t="s">
        <v>194</v>
      </c>
      <c r="CC197" t="s">
        <v>264</v>
      </c>
      <c r="CD197" t="s">
        <v>265</v>
      </c>
      <c r="CE197" t="s">
        <v>266</v>
      </c>
      <c r="CF197" t="s">
        <v>215</v>
      </c>
      <c r="CH197" t="s">
        <v>214</v>
      </c>
      <c r="CI197" t="s">
        <v>214</v>
      </c>
      <c r="CJ197" t="s">
        <v>214</v>
      </c>
      <c r="CP197" t="s">
        <v>214</v>
      </c>
      <c r="CS197" t="s">
        <v>216</v>
      </c>
      <c r="CV197" t="s">
        <v>214</v>
      </c>
      <c r="CW197" t="s">
        <v>214</v>
      </c>
      <c r="CX197" t="s">
        <v>217</v>
      </c>
      <c r="CY197" t="s">
        <v>214</v>
      </c>
      <c r="DA197" t="s">
        <v>218</v>
      </c>
    </row>
    <row r="198" spans="1:105" x14ac:dyDescent="0.3">
      <c r="A198">
        <v>1227209</v>
      </c>
      <c r="B198">
        <v>615785</v>
      </c>
      <c r="C198" t="str">
        <f>"110827502147"</f>
        <v>110827502147</v>
      </c>
      <c r="D198" t="s">
        <v>793</v>
      </c>
      <c r="E198" t="s">
        <v>794</v>
      </c>
      <c r="F198" t="s">
        <v>316</v>
      </c>
      <c r="G198" s="1">
        <v>40782</v>
      </c>
      <c r="I198" t="s">
        <v>187</v>
      </c>
      <c r="J198" t="s">
        <v>188</v>
      </c>
      <c r="K198" t="s">
        <v>223</v>
      </c>
      <c r="Y198" t="str">
        <f>"2017-08-15T00:00:00"</f>
        <v>2017-08-15T00:00:00</v>
      </c>
      <c r="Z198" t="str">
        <f>"№06"</f>
        <v>№06</v>
      </c>
      <c r="AA198" t="s">
        <v>224</v>
      </c>
      <c r="AC198" t="s">
        <v>225</v>
      </c>
      <c r="AD198" t="s">
        <v>261</v>
      </c>
      <c r="AE198" t="s">
        <v>193</v>
      </c>
      <c r="AF198" t="s">
        <v>194</v>
      </c>
      <c r="AH198" t="s">
        <v>195</v>
      </c>
      <c r="AI198">
        <v>2</v>
      </c>
      <c r="AJ198" t="s">
        <v>196</v>
      </c>
      <c r="AK198" t="s">
        <v>194</v>
      </c>
      <c r="AL198" t="s">
        <v>197</v>
      </c>
      <c r="AM198" t="s">
        <v>198</v>
      </c>
      <c r="AR198" t="s">
        <v>194</v>
      </c>
      <c r="AS198" t="s">
        <v>199</v>
      </c>
      <c r="AU198" t="s">
        <v>197</v>
      </c>
      <c r="AZ198" t="s">
        <v>194</v>
      </c>
      <c r="BA198" t="s">
        <v>200</v>
      </c>
      <c r="BB198" t="s">
        <v>201</v>
      </c>
      <c r="BD198" t="s">
        <v>200</v>
      </c>
      <c r="BE198" t="s">
        <v>202</v>
      </c>
      <c r="BF198" t="s">
        <v>197</v>
      </c>
      <c r="BG198" t="s">
        <v>269</v>
      </c>
      <c r="BH198" t="s">
        <v>270</v>
      </c>
      <c r="BJ198" t="s">
        <v>205</v>
      </c>
      <c r="BK198" t="s">
        <v>206</v>
      </c>
      <c r="BL198" t="s">
        <v>194</v>
      </c>
      <c r="BO198" t="s">
        <v>200</v>
      </c>
      <c r="BP198" t="s">
        <v>200</v>
      </c>
      <c r="BR198" t="s">
        <v>246</v>
      </c>
      <c r="BS198" t="s">
        <v>208</v>
      </c>
      <c r="BT198" t="s">
        <v>197</v>
      </c>
      <c r="BV198" t="s">
        <v>233</v>
      </c>
      <c r="CA198" t="s">
        <v>194</v>
      </c>
      <c r="CB198" t="s">
        <v>214</v>
      </c>
      <c r="CF198" t="s">
        <v>215</v>
      </c>
      <c r="CH198" t="s">
        <v>214</v>
      </c>
      <c r="CI198" t="s">
        <v>214</v>
      </c>
      <c r="CJ198" t="s">
        <v>214</v>
      </c>
      <c r="CP198" t="s">
        <v>214</v>
      </c>
      <c r="CS198" t="s">
        <v>216</v>
      </c>
      <c r="CV198" t="s">
        <v>214</v>
      </c>
      <c r="CW198" t="s">
        <v>214</v>
      </c>
      <c r="CX198" t="s">
        <v>217</v>
      </c>
      <c r="CY198" t="s">
        <v>214</v>
      </c>
      <c r="DA198" t="s">
        <v>218</v>
      </c>
    </row>
    <row r="199" spans="1:105" x14ac:dyDescent="0.3">
      <c r="A199">
        <v>1230638</v>
      </c>
      <c r="B199">
        <v>934573</v>
      </c>
      <c r="C199" t="str">
        <f>"071127550878"</f>
        <v>071127550878</v>
      </c>
      <c r="D199" t="s">
        <v>795</v>
      </c>
      <c r="E199" t="s">
        <v>603</v>
      </c>
      <c r="F199" t="s">
        <v>435</v>
      </c>
      <c r="G199" s="1">
        <v>39413</v>
      </c>
      <c r="I199" t="s">
        <v>187</v>
      </c>
      <c r="J199" t="s">
        <v>188</v>
      </c>
      <c r="K199" t="s">
        <v>223</v>
      </c>
      <c r="Y199" t="str">
        <f>"2017-08-29T00:00:00"</f>
        <v>2017-08-29T00:00:00</v>
      </c>
      <c r="Z199" t="str">
        <f>"№28"</f>
        <v>№28</v>
      </c>
      <c r="AA199" t="s">
        <v>224</v>
      </c>
      <c r="AB199" t="str">
        <f>"akm_arshalu_novoaleksandrovka@mail.ru"</f>
        <v>akm_arshalu_novoaleksandrovka@mail.ru</v>
      </c>
      <c r="AC199" t="s">
        <v>191</v>
      </c>
      <c r="AD199" t="s">
        <v>192</v>
      </c>
      <c r="AE199" t="s">
        <v>227</v>
      </c>
      <c r="AF199" t="s">
        <v>194</v>
      </c>
      <c r="AH199" t="s">
        <v>195</v>
      </c>
      <c r="AI199">
        <v>1</v>
      </c>
      <c r="AJ199" t="s">
        <v>196</v>
      </c>
      <c r="AK199" t="s">
        <v>194</v>
      </c>
      <c r="AL199" t="s">
        <v>197</v>
      </c>
      <c r="AM199" t="s">
        <v>228</v>
      </c>
      <c r="AR199" t="s">
        <v>214</v>
      </c>
      <c r="AU199" t="s">
        <v>197</v>
      </c>
      <c r="AZ199" t="s">
        <v>194</v>
      </c>
      <c r="BA199" t="s">
        <v>200</v>
      </c>
      <c r="BB199" t="s">
        <v>201</v>
      </c>
      <c r="BD199" t="s">
        <v>200</v>
      </c>
      <c r="BE199" t="s">
        <v>229</v>
      </c>
      <c r="BF199" t="s">
        <v>197</v>
      </c>
      <c r="BG199" t="s">
        <v>238</v>
      </c>
      <c r="BH199">
        <v>4</v>
      </c>
      <c r="BJ199" t="s">
        <v>205</v>
      </c>
      <c r="BK199" t="s">
        <v>206</v>
      </c>
      <c r="BL199" t="s">
        <v>194</v>
      </c>
      <c r="BO199" t="s">
        <v>200</v>
      </c>
      <c r="BP199" t="s">
        <v>200</v>
      </c>
      <c r="BR199" t="s">
        <v>232</v>
      </c>
      <c r="BT199" t="s">
        <v>197</v>
      </c>
      <c r="BV199" t="s">
        <v>233</v>
      </c>
      <c r="CA199" t="s">
        <v>194</v>
      </c>
      <c r="CB199" t="s">
        <v>214</v>
      </c>
      <c r="CF199" t="s">
        <v>215</v>
      </c>
      <c r="CH199" t="s">
        <v>214</v>
      </c>
      <c r="CI199" t="s">
        <v>214</v>
      </c>
      <c r="CJ199" t="s">
        <v>214</v>
      </c>
      <c r="CP199" t="s">
        <v>214</v>
      </c>
      <c r="CS199" t="s">
        <v>216</v>
      </c>
      <c r="CV199" t="s">
        <v>214</v>
      </c>
      <c r="CW199" t="s">
        <v>214</v>
      </c>
      <c r="CX199" t="s">
        <v>217</v>
      </c>
      <c r="CY199" t="s">
        <v>214</v>
      </c>
      <c r="DA199" t="s">
        <v>218</v>
      </c>
    </row>
    <row r="200" spans="1:105" x14ac:dyDescent="0.3">
      <c r="A200">
        <v>1230707</v>
      </c>
      <c r="B200">
        <v>934618</v>
      </c>
      <c r="C200" t="str">
        <f>"090204550311"</f>
        <v>090204550311</v>
      </c>
      <c r="D200" t="s">
        <v>796</v>
      </c>
      <c r="E200" t="s">
        <v>797</v>
      </c>
      <c r="F200" t="s">
        <v>798</v>
      </c>
      <c r="G200" s="1">
        <v>39848</v>
      </c>
      <c r="I200" t="s">
        <v>187</v>
      </c>
      <c r="J200" t="s">
        <v>188</v>
      </c>
      <c r="K200" t="s">
        <v>189</v>
      </c>
      <c r="Y200" t="str">
        <f>"2015-09-01T00:00:00"</f>
        <v>2015-09-01T00:00:00</v>
      </c>
      <c r="Z200" t="str">
        <f>"№46"</f>
        <v>№46</v>
      </c>
      <c r="AA200" t="s">
        <v>224</v>
      </c>
      <c r="AC200" t="s">
        <v>191</v>
      </c>
      <c r="AD200" t="s">
        <v>242</v>
      </c>
      <c r="AE200" t="s">
        <v>227</v>
      </c>
      <c r="AF200" t="s">
        <v>194</v>
      </c>
      <c r="AH200" t="s">
        <v>195</v>
      </c>
      <c r="AI200">
        <v>1</v>
      </c>
      <c r="AJ200" t="s">
        <v>196</v>
      </c>
      <c r="AK200" t="s">
        <v>194</v>
      </c>
      <c r="AL200" t="s">
        <v>197</v>
      </c>
      <c r="AM200" t="s">
        <v>228</v>
      </c>
      <c r="AR200" t="s">
        <v>194</v>
      </c>
      <c r="AS200" t="s">
        <v>199</v>
      </c>
      <c r="AU200" t="s">
        <v>197</v>
      </c>
      <c r="AZ200" t="s">
        <v>194</v>
      </c>
      <c r="BA200" t="s">
        <v>200</v>
      </c>
      <c r="BB200" t="s">
        <v>201</v>
      </c>
      <c r="BD200" t="s">
        <v>200</v>
      </c>
      <c r="BE200" t="s">
        <v>202</v>
      </c>
      <c r="BF200" t="s">
        <v>197</v>
      </c>
      <c r="BG200" t="s">
        <v>262</v>
      </c>
      <c r="BH200" t="s">
        <v>516</v>
      </c>
      <c r="BJ200" t="s">
        <v>205</v>
      </c>
      <c r="BK200" t="s">
        <v>206</v>
      </c>
      <c r="BL200" t="s">
        <v>194</v>
      </c>
      <c r="BO200" t="s">
        <v>200</v>
      </c>
      <c r="BP200" t="s">
        <v>200</v>
      </c>
      <c r="BR200" t="s">
        <v>246</v>
      </c>
      <c r="BS200" t="s">
        <v>208</v>
      </c>
      <c r="BT200" t="s">
        <v>197</v>
      </c>
      <c r="BV200" t="s">
        <v>233</v>
      </c>
      <c r="CA200" t="s">
        <v>194</v>
      </c>
      <c r="CB200" t="s">
        <v>214</v>
      </c>
      <c r="CF200" t="s">
        <v>215</v>
      </c>
      <c r="CH200" t="s">
        <v>214</v>
      </c>
      <c r="CI200" t="s">
        <v>214</v>
      </c>
      <c r="CJ200" t="s">
        <v>214</v>
      </c>
      <c r="CP200" t="s">
        <v>214</v>
      </c>
      <c r="CS200" t="s">
        <v>216</v>
      </c>
      <c r="CV200" t="s">
        <v>214</v>
      </c>
      <c r="CW200" t="s">
        <v>214</v>
      </c>
      <c r="CX200" t="s">
        <v>217</v>
      </c>
      <c r="CY200" t="s">
        <v>214</v>
      </c>
      <c r="DA200" t="s">
        <v>218</v>
      </c>
    </row>
    <row r="201" spans="1:105" x14ac:dyDescent="0.3">
      <c r="A201">
        <v>1228832</v>
      </c>
      <c r="B201">
        <v>933507</v>
      </c>
      <c r="C201" t="str">
        <f>"081024653922"</f>
        <v>081024653922</v>
      </c>
      <c r="D201" t="s">
        <v>799</v>
      </c>
      <c r="E201" t="s">
        <v>800</v>
      </c>
      <c r="F201" t="s">
        <v>358</v>
      </c>
      <c r="G201" s="1">
        <v>39745</v>
      </c>
      <c r="I201" t="s">
        <v>222</v>
      </c>
      <c r="J201" t="s">
        <v>188</v>
      </c>
      <c r="K201" t="s">
        <v>223</v>
      </c>
      <c r="Y201" t="str">
        <f>"2015-09-01T00:00:00"</f>
        <v>2015-09-01T00:00:00</v>
      </c>
      <c r="Z201" t="str">
        <f>"№46"</f>
        <v>№46</v>
      </c>
      <c r="AA201" t="s">
        <v>224</v>
      </c>
      <c r="AC201" t="s">
        <v>225</v>
      </c>
      <c r="AD201" t="s">
        <v>226</v>
      </c>
      <c r="AE201" t="s">
        <v>193</v>
      </c>
      <c r="AF201" t="s">
        <v>194</v>
      </c>
      <c r="AH201" t="s">
        <v>195</v>
      </c>
      <c r="AI201">
        <v>2</v>
      </c>
      <c r="AJ201" t="s">
        <v>196</v>
      </c>
      <c r="AK201" t="s">
        <v>194</v>
      </c>
      <c r="AL201" t="s">
        <v>197</v>
      </c>
      <c r="AM201" t="s">
        <v>198</v>
      </c>
      <c r="AR201" t="s">
        <v>194</v>
      </c>
      <c r="AS201" t="s">
        <v>199</v>
      </c>
      <c r="AU201" t="s">
        <v>197</v>
      </c>
      <c r="AZ201" t="s">
        <v>194</v>
      </c>
      <c r="BA201" t="s">
        <v>200</v>
      </c>
      <c r="BB201" t="s">
        <v>201</v>
      </c>
      <c r="BD201" t="s">
        <v>200</v>
      </c>
      <c r="BE201" t="s">
        <v>229</v>
      </c>
      <c r="BF201" t="s">
        <v>197</v>
      </c>
      <c r="BG201" t="s">
        <v>238</v>
      </c>
      <c r="BH201">
        <v>4</v>
      </c>
      <c r="BJ201" t="s">
        <v>205</v>
      </c>
      <c r="BK201" t="s">
        <v>206</v>
      </c>
      <c r="BL201" t="s">
        <v>194</v>
      </c>
      <c r="BO201" t="s">
        <v>200</v>
      </c>
      <c r="BP201" t="s">
        <v>200</v>
      </c>
      <c r="BR201" t="s">
        <v>207</v>
      </c>
      <c r="BS201" t="s">
        <v>208</v>
      </c>
      <c r="BT201" t="s">
        <v>197</v>
      </c>
      <c r="BV201" t="s">
        <v>233</v>
      </c>
      <c r="CA201" t="s">
        <v>194</v>
      </c>
      <c r="CB201" t="s">
        <v>214</v>
      </c>
      <c r="CF201" t="s">
        <v>215</v>
      </c>
      <c r="CH201" t="s">
        <v>214</v>
      </c>
      <c r="CI201" t="s">
        <v>214</v>
      </c>
      <c r="CJ201" t="s">
        <v>214</v>
      </c>
      <c r="CP201" t="s">
        <v>214</v>
      </c>
      <c r="CS201" t="s">
        <v>216</v>
      </c>
      <c r="CV201" t="s">
        <v>214</v>
      </c>
      <c r="CW201" t="s">
        <v>214</v>
      </c>
      <c r="CX201" t="s">
        <v>217</v>
      </c>
      <c r="CY201" t="s">
        <v>214</v>
      </c>
      <c r="DA201" t="s">
        <v>218</v>
      </c>
    </row>
    <row r="202" spans="1:105" x14ac:dyDescent="0.3">
      <c r="A202">
        <v>1230762</v>
      </c>
      <c r="B202">
        <v>622908</v>
      </c>
      <c r="C202" t="str">
        <f>"120725505614"</f>
        <v>120725505614</v>
      </c>
      <c r="D202" t="s">
        <v>765</v>
      </c>
      <c r="E202" t="s">
        <v>801</v>
      </c>
      <c r="F202" t="s">
        <v>767</v>
      </c>
      <c r="G202" s="1">
        <v>41115</v>
      </c>
      <c r="I202" t="s">
        <v>187</v>
      </c>
      <c r="J202" t="s">
        <v>188</v>
      </c>
      <c r="K202" t="s">
        <v>189</v>
      </c>
      <c r="Y202" t="str">
        <f>"2018-09-01T00:00:00"</f>
        <v>2018-09-01T00:00:00</v>
      </c>
      <c r="Z202" t="str">
        <f>"№26"</f>
        <v>№26</v>
      </c>
      <c r="AA202" t="s">
        <v>224</v>
      </c>
      <c r="AC202" t="s">
        <v>225</v>
      </c>
      <c r="AD202" t="s">
        <v>615</v>
      </c>
      <c r="AE202" t="s">
        <v>193</v>
      </c>
      <c r="AF202" t="s">
        <v>194</v>
      </c>
      <c r="AH202" t="s">
        <v>195</v>
      </c>
      <c r="AI202">
        <v>1</v>
      </c>
      <c r="AJ202" t="s">
        <v>196</v>
      </c>
      <c r="AK202" t="s">
        <v>194</v>
      </c>
      <c r="AL202" t="s">
        <v>197</v>
      </c>
      <c r="AM202" t="s">
        <v>228</v>
      </c>
      <c r="AR202" t="s">
        <v>194</v>
      </c>
      <c r="AS202" t="s">
        <v>199</v>
      </c>
      <c r="AU202" t="s">
        <v>197</v>
      </c>
      <c r="AZ202" t="s">
        <v>194</v>
      </c>
      <c r="BA202" t="s">
        <v>200</v>
      </c>
      <c r="BB202" t="s">
        <v>201</v>
      </c>
      <c r="BC202" t="s">
        <v>317</v>
      </c>
      <c r="BD202" t="s">
        <v>200</v>
      </c>
      <c r="BE202" t="s">
        <v>202</v>
      </c>
      <c r="BF202" t="s">
        <v>197</v>
      </c>
      <c r="BG202" t="s">
        <v>230</v>
      </c>
      <c r="BH202" t="s">
        <v>420</v>
      </c>
      <c r="BJ202" t="s">
        <v>205</v>
      </c>
      <c r="BK202" t="s">
        <v>206</v>
      </c>
      <c r="BL202" t="s">
        <v>194</v>
      </c>
      <c r="BO202" t="s">
        <v>200</v>
      </c>
      <c r="BP202" t="s">
        <v>200</v>
      </c>
      <c r="BQ202" s="3">
        <v>45566</v>
      </c>
      <c r="BR202" t="s">
        <v>232</v>
      </c>
      <c r="BT202" t="s">
        <v>197</v>
      </c>
      <c r="BV202" t="s">
        <v>233</v>
      </c>
      <c r="CA202" t="s">
        <v>194</v>
      </c>
      <c r="CB202" t="s">
        <v>194</v>
      </c>
      <c r="CC202" t="s">
        <v>264</v>
      </c>
      <c r="CD202" t="s">
        <v>265</v>
      </c>
      <c r="CE202" t="s">
        <v>266</v>
      </c>
      <c r="CF202" t="s">
        <v>215</v>
      </c>
      <c r="CH202" t="s">
        <v>214</v>
      </c>
      <c r="CI202" t="s">
        <v>214</v>
      </c>
      <c r="CJ202" t="s">
        <v>214</v>
      </c>
      <c r="CP202" t="s">
        <v>214</v>
      </c>
      <c r="CS202" t="s">
        <v>216</v>
      </c>
      <c r="CV202" t="s">
        <v>214</v>
      </c>
      <c r="CW202" t="s">
        <v>214</v>
      </c>
      <c r="CX202" t="s">
        <v>217</v>
      </c>
      <c r="CY202" t="s">
        <v>214</v>
      </c>
      <c r="DA202" t="s">
        <v>218</v>
      </c>
    </row>
    <row r="203" spans="1:105" x14ac:dyDescent="0.3">
      <c r="A203">
        <v>1228811</v>
      </c>
      <c r="B203">
        <v>933491</v>
      </c>
      <c r="C203" t="str">
        <f>"080315551986"</f>
        <v>080315551986</v>
      </c>
      <c r="D203" t="s">
        <v>802</v>
      </c>
      <c r="E203" t="s">
        <v>349</v>
      </c>
      <c r="F203" t="s">
        <v>344</v>
      </c>
      <c r="G203" s="1">
        <v>39522</v>
      </c>
      <c r="I203" t="s">
        <v>187</v>
      </c>
      <c r="J203" t="s">
        <v>188</v>
      </c>
      <c r="K203" t="s">
        <v>223</v>
      </c>
      <c r="Y203" t="str">
        <f>"2015-09-01T00:00:00"</f>
        <v>2015-09-01T00:00:00</v>
      </c>
      <c r="Z203" t="str">
        <f>"№46"</f>
        <v>№46</v>
      </c>
      <c r="AA203" t="s">
        <v>224</v>
      </c>
      <c r="AC203" t="s">
        <v>237</v>
      </c>
      <c r="AD203" t="s">
        <v>226</v>
      </c>
      <c r="AE203" t="s">
        <v>193</v>
      </c>
      <c r="AF203" t="s">
        <v>194</v>
      </c>
      <c r="AH203" t="s">
        <v>195</v>
      </c>
      <c r="AI203">
        <v>1</v>
      </c>
      <c r="AJ203" t="s">
        <v>196</v>
      </c>
      <c r="AK203" t="s">
        <v>194</v>
      </c>
      <c r="AL203" t="s">
        <v>197</v>
      </c>
      <c r="AM203" t="s">
        <v>198</v>
      </c>
      <c r="AR203" t="s">
        <v>194</v>
      </c>
      <c r="AS203" t="s">
        <v>199</v>
      </c>
      <c r="AU203" t="s">
        <v>197</v>
      </c>
      <c r="AZ203" t="s">
        <v>194</v>
      </c>
      <c r="BA203" t="s">
        <v>200</v>
      </c>
      <c r="BB203" t="s">
        <v>201</v>
      </c>
      <c r="BD203" t="s">
        <v>200</v>
      </c>
      <c r="BE203" t="s">
        <v>229</v>
      </c>
      <c r="BF203" t="s">
        <v>197</v>
      </c>
      <c r="BG203" t="s">
        <v>238</v>
      </c>
      <c r="BH203">
        <v>4</v>
      </c>
      <c r="BJ203" t="s">
        <v>205</v>
      </c>
      <c r="BK203" t="s">
        <v>206</v>
      </c>
      <c r="BL203" t="s">
        <v>194</v>
      </c>
      <c r="BO203" t="s">
        <v>216</v>
      </c>
      <c r="BP203" t="s">
        <v>216</v>
      </c>
      <c r="BR203" t="s">
        <v>232</v>
      </c>
      <c r="BT203" t="s">
        <v>197</v>
      </c>
      <c r="BV203" t="s">
        <v>233</v>
      </c>
      <c r="CA203" t="s">
        <v>194</v>
      </c>
      <c r="CB203" t="s">
        <v>214</v>
      </c>
      <c r="CF203" t="s">
        <v>215</v>
      </c>
      <c r="CH203" t="s">
        <v>214</v>
      </c>
      <c r="CI203" t="s">
        <v>214</v>
      </c>
      <c r="CJ203" t="s">
        <v>214</v>
      </c>
      <c r="CP203" t="s">
        <v>214</v>
      </c>
      <c r="CS203" t="s">
        <v>216</v>
      </c>
      <c r="CV203" t="s">
        <v>214</v>
      </c>
      <c r="CW203" t="s">
        <v>214</v>
      </c>
      <c r="CX203" t="s">
        <v>217</v>
      </c>
      <c r="CY203" t="s">
        <v>214</v>
      </c>
      <c r="DA203" t="s">
        <v>218</v>
      </c>
    </row>
    <row r="204" spans="1:105" x14ac:dyDescent="0.3">
      <c r="A204">
        <v>1228774</v>
      </c>
      <c r="B204">
        <v>933472</v>
      </c>
      <c r="C204" t="str">
        <f>"081230550989"</f>
        <v>081230550989</v>
      </c>
      <c r="D204" t="s">
        <v>803</v>
      </c>
      <c r="E204" t="s">
        <v>804</v>
      </c>
      <c r="F204" t="s">
        <v>805</v>
      </c>
      <c r="G204" s="1">
        <v>39812</v>
      </c>
      <c r="I204" t="s">
        <v>187</v>
      </c>
      <c r="J204" t="s">
        <v>188</v>
      </c>
      <c r="K204" t="s">
        <v>806</v>
      </c>
      <c r="Y204" t="str">
        <f>"2015-09-01T00:00:00"</f>
        <v>2015-09-01T00:00:00</v>
      </c>
      <c r="Z204" t="str">
        <f>"№46"</f>
        <v>№46</v>
      </c>
      <c r="AA204" t="s">
        <v>190</v>
      </c>
      <c r="AC204" t="s">
        <v>225</v>
      </c>
      <c r="AD204" t="s">
        <v>226</v>
      </c>
      <c r="AE204" t="s">
        <v>193</v>
      </c>
      <c r="AF204" t="s">
        <v>194</v>
      </c>
      <c r="AH204" t="s">
        <v>195</v>
      </c>
      <c r="AI204">
        <v>2</v>
      </c>
      <c r="AJ204" t="s">
        <v>196</v>
      </c>
      <c r="AK204" t="s">
        <v>194</v>
      </c>
      <c r="AL204" t="s">
        <v>197</v>
      </c>
      <c r="AM204" t="s">
        <v>198</v>
      </c>
      <c r="AR204" t="s">
        <v>194</v>
      </c>
      <c r="AS204" t="s">
        <v>199</v>
      </c>
      <c r="AU204" t="s">
        <v>197</v>
      </c>
      <c r="AZ204" t="s">
        <v>194</v>
      </c>
      <c r="BA204" t="s">
        <v>200</v>
      </c>
      <c r="BB204" t="s">
        <v>201</v>
      </c>
      <c r="BD204" t="s">
        <v>200</v>
      </c>
      <c r="BE204" t="s">
        <v>229</v>
      </c>
      <c r="BF204" t="s">
        <v>197</v>
      </c>
      <c r="BG204" t="s">
        <v>238</v>
      </c>
      <c r="BH204">
        <v>4</v>
      </c>
      <c r="BJ204" t="s">
        <v>205</v>
      </c>
      <c r="BK204" t="s">
        <v>206</v>
      </c>
      <c r="BL204" t="s">
        <v>194</v>
      </c>
      <c r="BO204" t="s">
        <v>216</v>
      </c>
      <c r="BP204" t="s">
        <v>216</v>
      </c>
      <c r="BR204" t="s">
        <v>232</v>
      </c>
      <c r="BT204" t="s">
        <v>197</v>
      </c>
      <c r="BV204" t="s">
        <v>233</v>
      </c>
      <c r="CA204" t="s">
        <v>194</v>
      </c>
      <c r="CB204" t="s">
        <v>214</v>
      </c>
      <c r="CF204" t="s">
        <v>215</v>
      </c>
      <c r="CH204" t="s">
        <v>214</v>
      </c>
      <c r="CI204" t="s">
        <v>214</v>
      </c>
      <c r="CJ204" t="s">
        <v>214</v>
      </c>
      <c r="CP204" t="s">
        <v>214</v>
      </c>
      <c r="CS204" t="s">
        <v>216</v>
      </c>
      <c r="CV204" t="s">
        <v>214</v>
      </c>
      <c r="CW204" t="s">
        <v>214</v>
      </c>
      <c r="CX204" t="s">
        <v>217</v>
      </c>
      <c r="CY204" t="s">
        <v>214</v>
      </c>
      <c r="DA204" t="s">
        <v>218</v>
      </c>
    </row>
    <row r="205" spans="1:105" x14ac:dyDescent="0.3">
      <c r="A205">
        <v>1230834</v>
      </c>
      <c r="B205">
        <v>934689</v>
      </c>
      <c r="C205" t="str">
        <f>"120407602914"</f>
        <v>120407602914</v>
      </c>
      <c r="D205" t="s">
        <v>807</v>
      </c>
      <c r="E205" t="s">
        <v>431</v>
      </c>
      <c r="F205" t="s">
        <v>379</v>
      </c>
      <c r="G205" s="1">
        <v>41006</v>
      </c>
      <c r="I205" t="s">
        <v>222</v>
      </c>
      <c r="J205" t="s">
        <v>188</v>
      </c>
      <c r="K205" t="s">
        <v>223</v>
      </c>
      <c r="Y205" t="str">
        <f>"2018-09-01T00:00:00"</f>
        <v>2018-09-01T00:00:00</v>
      </c>
      <c r="Z205" t="str">
        <f>"№26"</f>
        <v>№26</v>
      </c>
      <c r="AA205" t="s">
        <v>224</v>
      </c>
      <c r="AC205" t="s">
        <v>191</v>
      </c>
      <c r="AD205" t="s">
        <v>615</v>
      </c>
      <c r="AE205" t="s">
        <v>413</v>
      </c>
      <c r="AF205" t="s">
        <v>194</v>
      </c>
      <c r="AH205" t="s">
        <v>195</v>
      </c>
      <c r="AI205">
        <v>1</v>
      </c>
      <c r="AJ205" t="s">
        <v>196</v>
      </c>
      <c r="AK205" t="s">
        <v>194</v>
      </c>
      <c r="AL205" t="s">
        <v>197</v>
      </c>
      <c r="AM205" t="s">
        <v>228</v>
      </c>
      <c r="AR205" t="s">
        <v>194</v>
      </c>
      <c r="AS205" t="s">
        <v>199</v>
      </c>
      <c r="AU205" t="s">
        <v>197</v>
      </c>
      <c r="AZ205" t="s">
        <v>194</v>
      </c>
      <c r="BA205" t="s">
        <v>200</v>
      </c>
      <c r="BB205" t="s">
        <v>201</v>
      </c>
      <c r="BD205" t="s">
        <v>200</v>
      </c>
      <c r="BE205" t="s">
        <v>244</v>
      </c>
      <c r="BF205" t="s">
        <v>197</v>
      </c>
      <c r="BG205" t="s">
        <v>238</v>
      </c>
      <c r="BH205">
        <v>5</v>
      </c>
      <c r="BJ205" t="s">
        <v>205</v>
      </c>
      <c r="BK205" t="s">
        <v>206</v>
      </c>
      <c r="BL205" t="s">
        <v>194</v>
      </c>
      <c r="BO205" t="s">
        <v>216</v>
      </c>
      <c r="BP205" t="s">
        <v>216</v>
      </c>
      <c r="BQ205" s="2">
        <v>44805</v>
      </c>
      <c r="BR205" t="s">
        <v>232</v>
      </c>
      <c r="BT205" t="s">
        <v>197</v>
      </c>
      <c r="BV205" t="s">
        <v>233</v>
      </c>
      <c r="CA205" t="s">
        <v>214</v>
      </c>
      <c r="CB205" t="s">
        <v>194</v>
      </c>
      <c r="CC205" t="s">
        <v>264</v>
      </c>
      <c r="CD205" t="s">
        <v>265</v>
      </c>
      <c r="CE205" t="s">
        <v>266</v>
      </c>
      <c r="CF205" t="s">
        <v>215</v>
      </c>
      <c r="CH205" t="s">
        <v>214</v>
      </c>
      <c r="CI205" t="s">
        <v>214</v>
      </c>
      <c r="CJ205" t="s">
        <v>214</v>
      </c>
      <c r="CP205" t="s">
        <v>214</v>
      </c>
      <c r="CS205" t="s">
        <v>216</v>
      </c>
      <c r="CV205" t="s">
        <v>214</v>
      </c>
      <c r="CW205" t="s">
        <v>214</v>
      </c>
      <c r="CX205" t="s">
        <v>217</v>
      </c>
      <c r="CY205" t="s">
        <v>214</v>
      </c>
      <c r="DA205" t="s">
        <v>218</v>
      </c>
    </row>
    <row r="206" spans="1:105" x14ac:dyDescent="0.3">
      <c r="A206">
        <v>1230852</v>
      </c>
      <c r="B206">
        <v>934703</v>
      </c>
      <c r="C206" t="str">
        <f>"121113502506"</f>
        <v>121113502506</v>
      </c>
      <c r="D206" t="s">
        <v>808</v>
      </c>
      <c r="E206" t="s">
        <v>809</v>
      </c>
      <c r="F206" t="s">
        <v>810</v>
      </c>
      <c r="G206" s="1">
        <v>41226</v>
      </c>
      <c r="I206" t="s">
        <v>187</v>
      </c>
      <c r="J206" t="s">
        <v>188</v>
      </c>
      <c r="K206" t="s">
        <v>498</v>
      </c>
      <c r="Y206" t="str">
        <f>"2018-09-01T00:00:00"</f>
        <v>2018-09-01T00:00:00</v>
      </c>
      <c r="Z206" t="str">
        <f>"№26"</f>
        <v>№26</v>
      </c>
      <c r="AA206" t="s">
        <v>224</v>
      </c>
      <c r="AC206" t="s">
        <v>191</v>
      </c>
      <c r="AD206" t="s">
        <v>615</v>
      </c>
      <c r="AE206" t="s">
        <v>413</v>
      </c>
      <c r="AF206" t="s">
        <v>194</v>
      </c>
      <c r="AH206" t="s">
        <v>195</v>
      </c>
      <c r="AI206">
        <v>1</v>
      </c>
      <c r="AJ206" t="s">
        <v>196</v>
      </c>
      <c r="AK206" t="s">
        <v>194</v>
      </c>
      <c r="AL206" t="s">
        <v>197</v>
      </c>
      <c r="AM206" t="s">
        <v>811</v>
      </c>
      <c r="AQ206" t="str">
        <f>"2020-11-04T08:57:28"</f>
        <v>2020-11-04T08:57:28</v>
      </c>
      <c r="AR206" t="s">
        <v>214</v>
      </c>
      <c r="AU206" t="s">
        <v>197</v>
      </c>
      <c r="AZ206" t="s">
        <v>194</v>
      </c>
      <c r="BA206" t="s">
        <v>200</v>
      </c>
      <c r="BB206" t="s">
        <v>201</v>
      </c>
      <c r="BD206" t="s">
        <v>200</v>
      </c>
      <c r="BE206" t="s">
        <v>202</v>
      </c>
      <c r="BF206" t="s">
        <v>197</v>
      </c>
      <c r="BG206" t="s">
        <v>230</v>
      </c>
      <c r="BH206" t="s">
        <v>420</v>
      </c>
      <c r="BJ206" t="s">
        <v>205</v>
      </c>
      <c r="BK206" t="s">
        <v>206</v>
      </c>
      <c r="BL206" t="s">
        <v>194</v>
      </c>
      <c r="BO206" t="s">
        <v>216</v>
      </c>
      <c r="BP206" t="s">
        <v>216</v>
      </c>
      <c r="BQ206" s="2">
        <v>44805</v>
      </c>
      <c r="BR206" t="s">
        <v>232</v>
      </c>
      <c r="BT206" t="s">
        <v>197</v>
      </c>
      <c r="BV206" t="s">
        <v>233</v>
      </c>
      <c r="CA206" t="s">
        <v>194</v>
      </c>
      <c r="CB206" t="s">
        <v>214</v>
      </c>
      <c r="CF206" t="s">
        <v>215</v>
      </c>
      <c r="CH206" t="s">
        <v>214</v>
      </c>
      <c r="CI206" t="s">
        <v>214</v>
      </c>
      <c r="CJ206" t="s">
        <v>214</v>
      </c>
      <c r="CP206" t="s">
        <v>214</v>
      </c>
      <c r="CS206" t="s">
        <v>216</v>
      </c>
      <c r="CV206" t="s">
        <v>214</v>
      </c>
      <c r="CW206" t="s">
        <v>214</v>
      </c>
      <c r="CX206" t="s">
        <v>217</v>
      </c>
      <c r="CY206" t="s">
        <v>214</v>
      </c>
      <c r="DA206" t="s">
        <v>218</v>
      </c>
    </row>
    <row r="207" spans="1:105" x14ac:dyDescent="0.3">
      <c r="A207">
        <v>1228757</v>
      </c>
      <c r="B207">
        <v>933461</v>
      </c>
      <c r="C207" t="str">
        <f>"080527650293"</f>
        <v>080527650293</v>
      </c>
      <c r="D207" t="s">
        <v>812</v>
      </c>
      <c r="E207" t="s">
        <v>253</v>
      </c>
      <c r="F207" t="s">
        <v>336</v>
      </c>
      <c r="G207" s="1">
        <v>39595</v>
      </c>
      <c r="I207" t="s">
        <v>222</v>
      </c>
      <c r="J207" t="s">
        <v>188</v>
      </c>
      <c r="K207" t="s">
        <v>223</v>
      </c>
      <c r="Y207" t="str">
        <f>"2015-09-01T00:00:00"</f>
        <v>2015-09-01T00:00:00</v>
      </c>
      <c r="Z207" t="str">
        <f>"№46"</f>
        <v>№46</v>
      </c>
      <c r="AA207" t="s">
        <v>224</v>
      </c>
      <c r="AC207" t="s">
        <v>191</v>
      </c>
      <c r="AD207" t="s">
        <v>226</v>
      </c>
      <c r="AE207" t="s">
        <v>193</v>
      </c>
      <c r="AF207" t="s">
        <v>194</v>
      </c>
      <c r="AH207" t="s">
        <v>195</v>
      </c>
      <c r="AI207">
        <v>2</v>
      </c>
      <c r="AJ207" t="s">
        <v>196</v>
      </c>
      <c r="AK207" t="s">
        <v>194</v>
      </c>
      <c r="AL207" t="s">
        <v>197</v>
      </c>
      <c r="AM207" t="s">
        <v>198</v>
      </c>
      <c r="AR207" t="s">
        <v>214</v>
      </c>
      <c r="AU207" t="s">
        <v>197</v>
      </c>
      <c r="AZ207" t="s">
        <v>194</v>
      </c>
      <c r="BA207" t="s">
        <v>200</v>
      </c>
      <c r="BB207" t="s">
        <v>201</v>
      </c>
      <c r="BC207" t="s">
        <v>317</v>
      </c>
      <c r="BE207" t="s">
        <v>229</v>
      </c>
      <c r="BF207" t="s">
        <v>197</v>
      </c>
      <c r="BG207" t="s">
        <v>238</v>
      </c>
      <c r="BH207">
        <v>4</v>
      </c>
      <c r="BJ207" t="s">
        <v>205</v>
      </c>
      <c r="BK207" t="s">
        <v>206</v>
      </c>
      <c r="BL207" t="s">
        <v>194</v>
      </c>
      <c r="BO207" t="s">
        <v>200</v>
      </c>
      <c r="BP207" t="s">
        <v>200</v>
      </c>
      <c r="BR207" t="s">
        <v>232</v>
      </c>
      <c r="BT207" t="s">
        <v>197</v>
      </c>
      <c r="BV207" t="s">
        <v>233</v>
      </c>
      <c r="CA207" t="s">
        <v>194</v>
      </c>
      <c r="CB207" t="s">
        <v>214</v>
      </c>
      <c r="CF207" t="s">
        <v>215</v>
      </c>
      <c r="CH207" t="s">
        <v>214</v>
      </c>
      <c r="CI207" t="s">
        <v>214</v>
      </c>
      <c r="CJ207" t="s">
        <v>214</v>
      </c>
      <c r="CP207" t="s">
        <v>214</v>
      </c>
      <c r="CS207" t="s">
        <v>216</v>
      </c>
      <c r="CV207" t="s">
        <v>214</v>
      </c>
      <c r="CW207" t="s">
        <v>214</v>
      </c>
      <c r="CX207" t="s">
        <v>217</v>
      </c>
      <c r="CY207" t="s">
        <v>214</v>
      </c>
      <c r="DA207" t="s">
        <v>218</v>
      </c>
    </row>
    <row r="208" spans="1:105" x14ac:dyDescent="0.3">
      <c r="A208">
        <v>1230878</v>
      </c>
      <c r="B208">
        <v>934719</v>
      </c>
      <c r="C208" t="str">
        <f>"130912501312"</f>
        <v>130912501312</v>
      </c>
      <c r="D208" t="s">
        <v>813</v>
      </c>
      <c r="E208" t="s">
        <v>603</v>
      </c>
      <c r="F208" t="s">
        <v>814</v>
      </c>
      <c r="G208" s="1">
        <v>41529</v>
      </c>
      <c r="I208" t="s">
        <v>187</v>
      </c>
      <c r="J208" t="s">
        <v>188</v>
      </c>
      <c r="K208" t="s">
        <v>223</v>
      </c>
      <c r="Y208" t="str">
        <f>"2018-09-01T00:00:00"</f>
        <v>2018-09-01T00:00:00</v>
      </c>
      <c r="Z208" t="str">
        <f>"№26"</f>
        <v>№26</v>
      </c>
      <c r="AA208" t="s">
        <v>224</v>
      </c>
      <c r="AC208" t="s">
        <v>191</v>
      </c>
      <c r="AD208" t="s">
        <v>815</v>
      </c>
      <c r="AE208" t="s">
        <v>227</v>
      </c>
      <c r="AF208" t="s">
        <v>194</v>
      </c>
      <c r="AH208" t="s">
        <v>195</v>
      </c>
      <c r="AI208">
        <v>3</v>
      </c>
      <c r="AJ208" t="s">
        <v>196</v>
      </c>
      <c r="AK208" t="s">
        <v>194</v>
      </c>
      <c r="AL208" t="s">
        <v>197</v>
      </c>
      <c r="AM208" t="s">
        <v>228</v>
      </c>
      <c r="AR208" t="s">
        <v>194</v>
      </c>
      <c r="AS208" t="s">
        <v>199</v>
      </c>
      <c r="AU208" t="s">
        <v>197</v>
      </c>
      <c r="AZ208" t="s">
        <v>194</v>
      </c>
      <c r="BA208" t="s">
        <v>200</v>
      </c>
      <c r="BB208" t="s">
        <v>201</v>
      </c>
      <c r="BD208" t="s">
        <v>200</v>
      </c>
      <c r="BE208" t="s">
        <v>202</v>
      </c>
      <c r="BF208" t="s">
        <v>197</v>
      </c>
      <c r="BG208" t="s">
        <v>230</v>
      </c>
      <c r="BH208" t="s">
        <v>440</v>
      </c>
      <c r="BJ208" t="s">
        <v>205</v>
      </c>
      <c r="BK208" t="s">
        <v>206</v>
      </c>
      <c r="BL208" t="s">
        <v>194</v>
      </c>
      <c r="BO208" t="s">
        <v>200</v>
      </c>
      <c r="BP208" t="s">
        <v>200</v>
      </c>
      <c r="BQ208" t="s">
        <v>280</v>
      </c>
      <c r="BR208" t="s">
        <v>232</v>
      </c>
      <c r="BT208" t="s">
        <v>197</v>
      </c>
      <c r="BV208" t="s">
        <v>233</v>
      </c>
      <c r="CA208" t="s">
        <v>214</v>
      </c>
      <c r="CB208" t="s">
        <v>214</v>
      </c>
      <c r="CF208" t="s">
        <v>215</v>
      </c>
      <c r="CH208" t="s">
        <v>214</v>
      </c>
      <c r="CI208" t="s">
        <v>214</v>
      </c>
      <c r="CJ208" t="s">
        <v>214</v>
      </c>
      <c r="CP208" t="s">
        <v>214</v>
      </c>
      <c r="CS208" t="s">
        <v>216</v>
      </c>
      <c r="CV208" t="s">
        <v>214</v>
      </c>
      <c r="CW208" t="s">
        <v>214</v>
      </c>
      <c r="CX208" t="s">
        <v>217</v>
      </c>
      <c r="CY208" t="s">
        <v>214</v>
      </c>
      <c r="DA208" t="s">
        <v>218</v>
      </c>
    </row>
    <row r="209" spans="1:105" x14ac:dyDescent="0.3">
      <c r="A209">
        <v>1228727</v>
      </c>
      <c r="B209">
        <v>933443</v>
      </c>
      <c r="C209" t="str">
        <f>"080310552808"</f>
        <v>080310552808</v>
      </c>
      <c r="D209" t="s">
        <v>816</v>
      </c>
      <c r="E209" t="s">
        <v>573</v>
      </c>
      <c r="F209" t="s">
        <v>297</v>
      </c>
      <c r="G209" s="1">
        <v>39517</v>
      </c>
      <c r="I209" t="s">
        <v>187</v>
      </c>
      <c r="J209" t="s">
        <v>188</v>
      </c>
      <c r="K209" t="s">
        <v>223</v>
      </c>
      <c r="Y209" t="str">
        <f>"2015-09-01T00:00:00"</f>
        <v>2015-09-01T00:00:00</v>
      </c>
      <c r="Z209" t="str">
        <f>"№46"</f>
        <v>№46</v>
      </c>
      <c r="AA209" t="s">
        <v>224</v>
      </c>
      <c r="AC209" t="s">
        <v>237</v>
      </c>
      <c r="AD209" t="s">
        <v>226</v>
      </c>
      <c r="AE209" t="s">
        <v>193</v>
      </c>
      <c r="AF209" t="s">
        <v>194</v>
      </c>
      <c r="AH209" t="s">
        <v>195</v>
      </c>
      <c r="AI209">
        <v>2</v>
      </c>
      <c r="AJ209" t="s">
        <v>196</v>
      </c>
      <c r="AK209" t="s">
        <v>194</v>
      </c>
      <c r="AL209" t="s">
        <v>197</v>
      </c>
      <c r="AM209" t="s">
        <v>228</v>
      </c>
      <c r="AR209" t="s">
        <v>194</v>
      </c>
      <c r="AS209" t="s">
        <v>199</v>
      </c>
      <c r="AU209" t="s">
        <v>197</v>
      </c>
      <c r="AZ209" t="s">
        <v>194</v>
      </c>
      <c r="BA209" t="s">
        <v>200</v>
      </c>
      <c r="BB209" t="s">
        <v>201</v>
      </c>
      <c r="BD209" t="s">
        <v>200</v>
      </c>
      <c r="BE209" t="s">
        <v>202</v>
      </c>
      <c r="BF209" t="s">
        <v>197</v>
      </c>
      <c r="BG209" t="s">
        <v>238</v>
      </c>
      <c r="BH209">
        <v>3</v>
      </c>
      <c r="BJ209" t="s">
        <v>205</v>
      </c>
      <c r="BK209" t="s">
        <v>206</v>
      </c>
      <c r="BL209" t="s">
        <v>194</v>
      </c>
      <c r="BO209" t="s">
        <v>216</v>
      </c>
      <c r="BP209" t="s">
        <v>216</v>
      </c>
      <c r="BR209" t="s">
        <v>232</v>
      </c>
      <c r="BT209" t="s">
        <v>197</v>
      </c>
      <c r="BV209" t="s">
        <v>233</v>
      </c>
      <c r="CA209" t="s">
        <v>194</v>
      </c>
      <c r="CB209" t="s">
        <v>214</v>
      </c>
      <c r="CF209" t="s">
        <v>215</v>
      </c>
      <c r="CH209" t="s">
        <v>214</v>
      </c>
      <c r="CI209" t="s">
        <v>214</v>
      </c>
      <c r="CJ209" t="s">
        <v>214</v>
      </c>
      <c r="CP209" t="s">
        <v>214</v>
      </c>
      <c r="CS209" t="s">
        <v>216</v>
      </c>
      <c r="CV209" t="s">
        <v>214</v>
      </c>
      <c r="CW209" t="s">
        <v>214</v>
      </c>
      <c r="CX209" t="s">
        <v>217</v>
      </c>
      <c r="CY209" t="s">
        <v>214</v>
      </c>
      <c r="DA209" t="s">
        <v>218</v>
      </c>
    </row>
    <row r="210" spans="1:105" x14ac:dyDescent="0.3">
      <c r="A210">
        <v>1230886</v>
      </c>
      <c r="B210">
        <v>934729</v>
      </c>
      <c r="C210" t="str">
        <f>"120415502852"</f>
        <v>120415502852</v>
      </c>
      <c r="D210" t="s">
        <v>817</v>
      </c>
      <c r="E210" t="s">
        <v>419</v>
      </c>
      <c r="F210" t="s">
        <v>316</v>
      </c>
      <c r="G210" s="1">
        <v>41014</v>
      </c>
      <c r="I210" t="s">
        <v>187</v>
      </c>
      <c r="J210" t="s">
        <v>188</v>
      </c>
      <c r="K210" t="s">
        <v>223</v>
      </c>
      <c r="Y210" t="str">
        <f>"2018-09-01T00:00:00"</f>
        <v>2018-09-01T00:00:00</v>
      </c>
      <c r="Z210" t="str">
        <f>"№26"</f>
        <v>№26</v>
      </c>
      <c r="AA210" t="s">
        <v>224</v>
      </c>
      <c r="AC210" t="s">
        <v>191</v>
      </c>
      <c r="AD210" t="s">
        <v>615</v>
      </c>
      <c r="AE210" t="s">
        <v>193</v>
      </c>
      <c r="AF210" t="s">
        <v>194</v>
      </c>
      <c r="AH210" t="s">
        <v>195</v>
      </c>
      <c r="AI210">
        <v>1</v>
      </c>
      <c r="AJ210" t="s">
        <v>196</v>
      </c>
      <c r="AK210" t="s">
        <v>194</v>
      </c>
      <c r="AL210" t="s">
        <v>197</v>
      </c>
      <c r="AM210" t="s">
        <v>228</v>
      </c>
      <c r="AR210" t="s">
        <v>194</v>
      </c>
      <c r="AS210" t="s">
        <v>199</v>
      </c>
      <c r="AU210" t="s">
        <v>197</v>
      </c>
      <c r="AZ210" t="s">
        <v>194</v>
      </c>
      <c r="BA210" t="s">
        <v>200</v>
      </c>
      <c r="BB210" t="s">
        <v>201</v>
      </c>
      <c r="BD210" t="s">
        <v>200</v>
      </c>
      <c r="BE210" t="s">
        <v>244</v>
      </c>
      <c r="BF210" t="s">
        <v>197</v>
      </c>
      <c r="BG210" t="s">
        <v>238</v>
      </c>
      <c r="BH210">
        <v>5</v>
      </c>
      <c r="BJ210" t="s">
        <v>205</v>
      </c>
      <c r="BK210" t="s">
        <v>206</v>
      </c>
      <c r="BL210" t="s">
        <v>194</v>
      </c>
      <c r="BO210" t="s">
        <v>216</v>
      </c>
      <c r="BP210" t="s">
        <v>216</v>
      </c>
      <c r="BQ210" s="2">
        <v>44805</v>
      </c>
      <c r="BR210" t="s">
        <v>232</v>
      </c>
      <c r="BT210" t="s">
        <v>197</v>
      </c>
      <c r="BV210" t="s">
        <v>233</v>
      </c>
      <c r="CA210" t="s">
        <v>214</v>
      </c>
      <c r="CB210" t="s">
        <v>194</v>
      </c>
      <c r="CC210" t="s">
        <v>264</v>
      </c>
      <c r="CD210" t="s">
        <v>265</v>
      </c>
      <c r="CE210" t="s">
        <v>266</v>
      </c>
      <c r="CF210" t="s">
        <v>215</v>
      </c>
      <c r="CH210" t="s">
        <v>214</v>
      </c>
      <c r="CI210" t="s">
        <v>214</v>
      </c>
      <c r="CJ210" t="s">
        <v>214</v>
      </c>
      <c r="CP210" t="s">
        <v>214</v>
      </c>
      <c r="CS210" t="s">
        <v>216</v>
      </c>
      <c r="CV210" t="s">
        <v>214</v>
      </c>
      <c r="CW210" t="s">
        <v>214</v>
      </c>
      <c r="CX210" t="s">
        <v>217</v>
      </c>
      <c r="CY210" t="s">
        <v>214</v>
      </c>
      <c r="DA210" t="s">
        <v>218</v>
      </c>
    </row>
    <row r="211" spans="1:105" x14ac:dyDescent="0.3">
      <c r="A211">
        <v>1230923</v>
      </c>
      <c r="B211">
        <v>934752</v>
      </c>
      <c r="C211" t="str">
        <f>"120419603432"</f>
        <v>120419603432</v>
      </c>
      <c r="D211" t="s">
        <v>818</v>
      </c>
      <c r="E211" t="s">
        <v>819</v>
      </c>
      <c r="F211" t="s">
        <v>820</v>
      </c>
      <c r="G211" s="1">
        <v>41018</v>
      </c>
      <c r="I211" t="s">
        <v>222</v>
      </c>
      <c r="J211" t="s">
        <v>188</v>
      </c>
      <c r="K211" t="s">
        <v>189</v>
      </c>
      <c r="Y211" t="str">
        <f>"2018-08-06T00:00:00"</f>
        <v>2018-08-06T00:00:00</v>
      </c>
      <c r="Z211" t="str">
        <f>"№19"</f>
        <v>№19</v>
      </c>
      <c r="AA211" t="s">
        <v>224</v>
      </c>
      <c r="AC211" t="s">
        <v>191</v>
      </c>
      <c r="AD211" t="s">
        <v>285</v>
      </c>
      <c r="AE211" t="s">
        <v>227</v>
      </c>
      <c r="AF211" t="s">
        <v>194</v>
      </c>
      <c r="AH211" t="s">
        <v>195</v>
      </c>
      <c r="AI211">
        <v>1</v>
      </c>
      <c r="AJ211" t="s">
        <v>196</v>
      </c>
      <c r="AK211" t="s">
        <v>194</v>
      </c>
      <c r="AL211" t="s">
        <v>197</v>
      </c>
      <c r="AM211" t="s">
        <v>228</v>
      </c>
      <c r="AR211" t="s">
        <v>194</v>
      </c>
      <c r="AS211" t="s">
        <v>199</v>
      </c>
      <c r="AU211" t="s">
        <v>197</v>
      </c>
      <c r="AZ211" t="s">
        <v>194</v>
      </c>
      <c r="BA211" t="s">
        <v>200</v>
      </c>
      <c r="BB211" t="s">
        <v>201</v>
      </c>
      <c r="BD211" t="s">
        <v>200</v>
      </c>
      <c r="BE211" t="s">
        <v>229</v>
      </c>
      <c r="BF211" t="s">
        <v>197</v>
      </c>
      <c r="BG211" t="s">
        <v>238</v>
      </c>
      <c r="BH211">
        <v>4</v>
      </c>
      <c r="BJ211" t="s">
        <v>205</v>
      </c>
      <c r="BK211" t="s">
        <v>206</v>
      </c>
      <c r="BL211" t="s">
        <v>194</v>
      </c>
      <c r="BO211" t="s">
        <v>216</v>
      </c>
      <c r="BP211" t="s">
        <v>216</v>
      </c>
      <c r="BQ211" t="s">
        <v>286</v>
      </c>
      <c r="BR211" t="s">
        <v>232</v>
      </c>
      <c r="BT211" t="s">
        <v>197</v>
      </c>
      <c r="BV211" t="s">
        <v>233</v>
      </c>
      <c r="CA211" t="s">
        <v>194</v>
      </c>
      <c r="CB211" t="s">
        <v>214</v>
      </c>
      <c r="CF211" t="s">
        <v>215</v>
      </c>
      <c r="CH211" t="s">
        <v>214</v>
      </c>
      <c r="CI211" t="s">
        <v>214</v>
      </c>
      <c r="CJ211" t="s">
        <v>214</v>
      </c>
      <c r="CP211" t="s">
        <v>214</v>
      </c>
      <c r="CS211" t="s">
        <v>216</v>
      </c>
      <c r="CV211" t="s">
        <v>214</v>
      </c>
      <c r="CW211" t="s">
        <v>214</v>
      </c>
      <c r="CX211" t="s">
        <v>217</v>
      </c>
      <c r="CY211" t="s">
        <v>214</v>
      </c>
      <c r="DA211" t="s">
        <v>218</v>
      </c>
    </row>
    <row r="212" spans="1:105" x14ac:dyDescent="0.3">
      <c r="A212">
        <v>1228720</v>
      </c>
      <c r="B212">
        <v>933438</v>
      </c>
      <c r="C212" t="str">
        <f>"090108552594"</f>
        <v>090108552594</v>
      </c>
      <c r="D212" t="s">
        <v>821</v>
      </c>
      <c r="E212" t="s">
        <v>385</v>
      </c>
      <c r="F212" t="s">
        <v>435</v>
      </c>
      <c r="G212" s="1">
        <v>39821</v>
      </c>
      <c r="I212" t="s">
        <v>187</v>
      </c>
      <c r="J212" t="s">
        <v>188</v>
      </c>
      <c r="K212" t="s">
        <v>223</v>
      </c>
      <c r="Y212" t="str">
        <f>"2015-09-01T00:00:00"</f>
        <v>2015-09-01T00:00:00</v>
      </c>
      <c r="Z212" t="str">
        <f>"№46"</f>
        <v>№46</v>
      </c>
      <c r="AA212" t="s">
        <v>224</v>
      </c>
      <c r="AC212" t="s">
        <v>225</v>
      </c>
      <c r="AD212" t="s">
        <v>226</v>
      </c>
      <c r="AE212" t="s">
        <v>227</v>
      </c>
      <c r="AF212" t="s">
        <v>194</v>
      </c>
      <c r="AH212" t="s">
        <v>195</v>
      </c>
      <c r="AI212">
        <v>2</v>
      </c>
      <c r="AJ212" t="s">
        <v>196</v>
      </c>
      <c r="AK212" t="s">
        <v>194</v>
      </c>
      <c r="AL212" t="s">
        <v>197</v>
      </c>
      <c r="AM212" t="s">
        <v>228</v>
      </c>
      <c r="AR212" t="s">
        <v>194</v>
      </c>
      <c r="AS212" t="s">
        <v>199</v>
      </c>
      <c r="AU212" t="s">
        <v>197</v>
      </c>
      <c r="AZ212" t="s">
        <v>194</v>
      </c>
      <c r="BA212" t="s">
        <v>200</v>
      </c>
      <c r="BB212" t="s">
        <v>201</v>
      </c>
      <c r="BD212" t="s">
        <v>200</v>
      </c>
      <c r="BE212" t="s">
        <v>229</v>
      </c>
      <c r="BF212" t="s">
        <v>197</v>
      </c>
      <c r="BG212" t="s">
        <v>230</v>
      </c>
      <c r="BH212" t="s">
        <v>231</v>
      </c>
      <c r="BJ212" t="s">
        <v>205</v>
      </c>
      <c r="BK212" t="s">
        <v>206</v>
      </c>
      <c r="BL212" t="s">
        <v>194</v>
      </c>
      <c r="BO212" t="s">
        <v>200</v>
      </c>
      <c r="BP212" t="s">
        <v>200</v>
      </c>
      <c r="BR212" t="s">
        <v>246</v>
      </c>
      <c r="BS212" t="s">
        <v>208</v>
      </c>
      <c r="BT212" t="s">
        <v>197</v>
      </c>
      <c r="BV212" t="s">
        <v>233</v>
      </c>
      <c r="CA212" t="s">
        <v>194</v>
      </c>
      <c r="CB212" t="s">
        <v>214</v>
      </c>
      <c r="CF212" t="s">
        <v>215</v>
      </c>
      <c r="CH212" t="s">
        <v>214</v>
      </c>
      <c r="CI212" t="s">
        <v>214</v>
      </c>
      <c r="CJ212" t="s">
        <v>214</v>
      </c>
      <c r="CP212" t="s">
        <v>214</v>
      </c>
      <c r="CS212" t="s">
        <v>216</v>
      </c>
      <c r="CV212" t="s">
        <v>214</v>
      </c>
      <c r="CW212" t="s">
        <v>214</v>
      </c>
      <c r="CX212" t="s">
        <v>217</v>
      </c>
      <c r="CY212" t="s">
        <v>214</v>
      </c>
      <c r="DA212" t="s">
        <v>218</v>
      </c>
    </row>
    <row r="213" spans="1:105" x14ac:dyDescent="0.3">
      <c r="A213">
        <v>1230958</v>
      </c>
      <c r="B213">
        <v>934772</v>
      </c>
      <c r="C213" t="str">
        <f>"111101502806"</f>
        <v>111101502806</v>
      </c>
      <c r="D213" t="s">
        <v>808</v>
      </c>
      <c r="E213" t="s">
        <v>822</v>
      </c>
      <c r="F213" t="s">
        <v>810</v>
      </c>
      <c r="G213" s="1">
        <v>40848</v>
      </c>
      <c r="I213" t="s">
        <v>187</v>
      </c>
      <c r="J213" t="s">
        <v>188</v>
      </c>
      <c r="K213" t="s">
        <v>498</v>
      </c>
      <c r="Y213" t="str">
        <f>"2018-08-06T00:00:00"</f>
        <v>2018-08-06T00:00:00</v>
      </c>
      <c r="Z213" t="str">
        <f>"№19"</f>
        <v>№19</v>
      </c>
      <c r="AA213" t="s">
        <v>224</v>
      </c>
      <c r="AC213" t="s">
        <v>191</v>
      </c>
      <c r="AD213" t="s">
        <v>285</v>
      </c>
      <c r="AE213" t="s">
        <v>227</v>
      </c>
      <c r="AF213" t="s">
        <v>194</v>
      </c>
      <c r="AH213" t="s">
        <v>195</v>
      </c>
      <c r="AI213">
        <v>2</v>
      </c>
      <c r="AJ213" t="s">
        <v>196</v>
      </c>
      <c r="AK213" t="s">
        <v>194</v>
      </c>
      <c r="AL213" t="s">
        <v>197</v>
      </c>
      <c r="AM213" t="s">
        <v>228</v>
      </c>
      <c r="AR213" t="s">
        <v>194</v>
      </c>
      <c r="AS213" t="s">
        <v>199</v>
      </c>
      <c r="AU213" t="s">
        <v>197</v>
      </c>
      <c r="AZ213" t="s">
        <v>194</v>
      </c>
      <c r="BA213" t="s">
        <v>200</v>
      </c>
      <c r="BB213" t="s">
        <v>201</v>
      </c>
      <c r="BD213" t="s">
        <v>200</v>
      </c>
      <c r="BE213" t="s">
        <v>229</v>
      </c>
      <c r="BF213" t="s">
        <v>197</v>
      </c>
      <c r="BG213" t="s">
        <v>238</v>
      </c>
      <c r="BH213">
        <v>4</v>
      </c>
      <c r="BJ213" t="s">
        <v>205</v>
      </c>
      <c r="BK213" t="s">
        <v>206</v>
      </c>
      <c r="BL213" t="s">
        <v>194</v>
      </c>
      <c r="BO213" t="s">
        <v>216</v>
      </c>
      <c r="BP213" t="s">
        <v>216</v>
      </c>
      <c r="BQ213" t="s">
        <v>286</v>
      </c>
      <c r="BR213" t="s">
        <v>232</v>
      </c>
      <c r="BT213" t="s">
        <v>197</v>
      </c>
      <c r="BV213" t="s">
        <v>233</v>
      </c>
      <c r="CA213" t="s">
        <v>194</v>
      </c>
      <c r="CB213" t="s">
        <v>214</v>
      </c>
      <c r="CF213" t="s">
        <v>215</v>
      </c>
      <c r="CH213" t="s">
        <v>214</v>
      </c>
      <c r="CI213" t="s">
        <v>214</v>
      </c>
      <c r="CJ213" t="s">
        <v>214</v>
      </c>
      <c r="CP213" t="s">
        <v>214</v>
      </c>
      <c r="CS213" t="s">
        <v>216</v>
      </c>
      <c r="CV213" t="s">
        <v>214</v>
      </c>
      <c r="CW213" t="s">
        <v>214</v>
      </c>
      <c r="CX213" t="s">
        <v>217</v>
      </c>
      <c r="CY213" t="s">
        <v>214</v>
      </c>
      <c r="DA213" t="s">
        <v>218</v>
      </c>
    </row>
    <row r="214" spans="1:105" x14ac:dyDescent="0.3">
      <c r="A214">
        <v>1230988</v>
      </c>
      <c r="B214">
        <v>934789</v>
      </c>
      <c r="C214" t="str">
        <f>"120727604782"</f>
        <v>120727604782</v>
      </c>
      <c r="D214" t="s">
        <v>823</v>
      </c>
      <c r="E214" t="s">
        <v>824</v>
      </c>
      <c r="F214" t="s">
        <v>464</v>
      </c>
      <c r="G214" s="1">
        <v>41117</v>
      </c>
      <c r="I214" t="s">
        <v>222</v>
      </c>
      <c r="J214" t="s">
        <v>188</v>
      </c>
      <c r="K214" t="s">
        <v>530</v>
      </c>
      <c r="Y214" t="str">
        <f>"2018-08-15T00:00:00"</f>
        <v>2018-08-15T00:00:00</v>
      </c>
      <c r="Z214" t="str">
        <f>"№20"</f>
        <v>№20</v>
      </c>
      <c r="AA214" t="s">
        <v>224</v>
      </c>
      <c r="AC214" t="s">
        <v>191</v>
      </c>
      <c r="AD214" t="s">
        <v>285</v>
      </c>
      <c r="AE214" t="s">
        <v>193</v>
      </c>
      <c r="AF214" t="s">
        <v>194</v>
      </c>
      <c r="AH214" t="s">
        <v>195</v>
      </c>
      <c r="AI214">
        <v>1</v>
      </c>
      <c r="AJ214" t="s">
        <v>196</v>
      </c>
      <c r="AK214" t="s">
        <v>194</v>
      </c>
      <c r="AL214" t="s">
        <v>197</v>
      </c>
      <c r="AM214" t="s">
        <v>198</v>
      </c>
      <c r="AR214" t="s">
        <v>194</v>
      </c>
      <c r="AS214" t="s">
        <v>199</v>
      </c>
      <c r="AU214" t="s">
        <v>197</v>
      </c>
      <c r="AZ214" t="s">
        <v>194</v>
      </c>
      <c r="BA214" t="s">
        <v>200</v>
      </c>
      <c r="BB214" t="s">
        <v>201</v>
      </c>
      <c r="BD214" t="s">
        <v>200</v>
      </c>
      <c r="BE214" t="s">
        <v>244</v>
      </c>
      <c r="BF214" t="s">
        <v>197</v>
      </c>
      <c r="BG214" t="s">
        <v>269</v>
      </c>
      <c r="BH214" t="s">
        <v>432</v>
      </c>
      <c r="BJ214" t="s">
        <v>205</v>
      </c>
      <c r="BK214" t="s">
        <v>206</v>
      </c>
      <c r="BL214" t="s">
        <v>194</v>
      </c>
      <c r="BO214" t="s">
        <v>216</v>
      </c>
      <c r="BP214" t="s">
        <v>216</v>
      </c>
      <c r="BQ214" t="s">
        <v>286</v>
      </c>
      <c r="BR214" t="s">
        <v>232</v>
      </c>
      <c r="BT214" t="s">
        <v>197</v>
      </c>
      <c r="BV214" t="s">
        <v>233</v>
      </c>
      <c r="CA214" t="s">
        <v>194</v>
      </c>
      <c r="CB214" t="s">
        <v>214</v>
      </c>
      <c r="CF214" t="s">
        <v>215</v>
      </c>
      <c r="CH214" t="s">
        <v>214</v>
      </c>
      <c r="CI214" t="s">
        <v>214</v>
      </c>
      <c r="CJ214" t="s">
        <v>214</v>
      </c>
      <c r="CP214" t="s">
        <v>214</v>
      </c>
      <c r="CS214" t="s">
        <v>216</v>
      </c>
      <c r="CV214" t="s">
        <v>214</v>
      </c>
      <c r="CW214" t="s">
        <v>214</v>
      </c>
      <c r="CX214" t="s">
        <v>217</v>
      </c>
      <c r="CY214" t="s">
        <v>214</v>
      </c>
      <c r="DA214" t="s">
        <v>218</v>
      </c>
    </row>
    <row r="215" spans="1:105" x14ac:dyDescent="0.3">
      <c r="A215">
        <v>1228906</v>
      </c>
      <c r="B215">
        <v>77337</v>
      </c>
      <c r="C215" t="str">
        <f>"091103653089"</f>
        <v>091103653089</v>
      </c>
      <c r="D215" t="s">
        <v>825</v>
      </c>
      <c r="E215" t="s">
        <v>826</v>
      </c>
      <c r="F215" t="s">
        <v>827</v>
      </c>
      <c r="G215" s="1">
        <v>40120</v>
      </c>
      <c r="I215" t="s">
        <v>222</v>
      </c>
      <c r="J215" t="s">
        <v>188</v>
      </c>
      <c r="K215" t="s">
        <v>189</v>
      </c>
      <c r="Y215" t="str">
        <f>"2016-08-29T00:00:00"</f>
        <v>2016-08-29T00:00:00</v>
      </c>
      <c r="Z215" t="str">
        <f>"№39"</f>
        <v>№39</v>
      </c>
      <c r="AA215" t="s">
        <v>224</v>
      </c>
      <c r="AC215" t="s">
        <v>237</v>
      </c>
      <c r="AD215" t="s">
        <v>242</v>
      </c>
      <c r="AE215" t="s">
        <v>193</v>
      </c>
      <c r="AF215" t="s">
        <v>194</v>
      </c>
      <c r="AH215" t="s">
        <v>195</v>
      </c>
      <c r="AI215">
        <v>1</v>
      </c>
      <c r="AJ215" t="s">
        <v>196</v>
      </c>
      <c r="AK215" t="s">
        <v>194</v>
      </c>
      <c r="AL215" t="s">
        <v>197</v>
      </c>
      <c r="AM215" t="s">
        <v>228</v>
      </c>
      <c r="AR215" t="s">
        <v>194</v>
      </c>
      <c r="AS215" t="s">
        <v>199</v>
      </c>
      <c r="AU215" t="s">
        <v>197</v>
      </c>
      <c r="AZ215" t="s">
        <v>194</v>
      </c>
      <c r="BA215" t="s">
        <v>200</v>
      </c>
      <c r="BB215" t="s">
        <v>201</v>
      </c>
      <c r="BC215" t="s">
        <v>317</v>
      </c>
      <c r="BD215" t="s">
        <v>200</v>
      </c>
      <c r="BE215" t="s">
        <v>229</v>
      </c>
      <c r="BF215" t="s">
        <v>197</v>
      </c>
      <c r="BG215" t="s">
        <v>230</v>
      </c>
      <c r="BH215" t="s">
        <v>307</v>
      </c>
      <c r="BJ215" t="s">
        <v>205</v>
      </c>
      <c r="BK215" t="s">
        <v>206</v>
      </c>
      <c r="BL215" t="s">
        <v>194</v>
      </c>
      <c r="BO215" t="s">
        <v>200</v>
      </c>
      <c r="BP215" t="s">
        <v>200</v>
      </c>
      <c r="BR215" t="s">
        <v>232</v>
      </c>
      <c r="BT215" t="s">
        <v>197</v>
      </c>
      <c r="BV215" t="s">
        <v>233</v>
      </c>
      <c r="CA215" t="s">
        <v>194</v>
      </c>
      <c r="CB215" t="s">
        <v>214</v>
      </c>
      <c r="CF215" t="s">
        <v>215</v>
      </c>
      <c r="CH215" t="s">
        <v>214</v>
      </c>
      <c r="CI215" t="s">
        <v>214</v>
      </c>
      <c r="CJ215" t="s">
        <v>214</v>
      </c>
      <c r="CP215" t="s">
        <v>214</v>
      </c>
      <c r="CS215" t="s">
        <v>216</v>
      </c>
      <c r="CV215" t="s">
        <v>214</v>
      </c>
      <c r="CW215" t="s">
        <v>214</v>
      </c>
      <c r="CX215" t="s">
        <v>217</v>
      </c>
      <c r="CY215" t="s">
        <v>214</v>
      </c>
      <c r="DA215" t="s">
        <v>218</v>
      </c>
    </row>
    <row r="216" spans="1:105" x14ac:dyDescent="0.3">
      <c r="A216">
        <v>1231027</v>
      </c>
      <c r="B216">
        <v>934814</v>
      </c>
      <c r="C216" t="str">
        <f>"111214602371"</f>
        <v>111214602371</v>
      </c>
      <c r="D216" t="s">
        <v>828</v>
      </c>
      <c r="E216" t="s">
        <v>800</v>
      </c>
      <c r="F216" t="s">
        <v>399</v>
      </c>
      <c r="G216" s="1">
        <v>40891</v>
      </c>
      <c r="I216" t="s">
        <v>222</v>
      </c>
      <c r="J216" t="s">
        <v>188</v>
      </c>
      <c r="K216" t="s">
        <v>223</v>
      </c>
      <c r="Y216" t="str">
        <f>"2018-08-15T00:00:00"</f>
        <v>2018-08-15T00:00:00</v>
      </c>
      <c r="Z216" t="str">
        <f>"№20"</f>
        <v>№20</v>
      </c>
      <c r="AA216" t="s">
        <v>224</v>
      </c>
      <c r="AC216" t="s">
        <v>191</v>
      </c>
      <c r="AD216" t="s">
        <v>285</v>
      </c>
      <c r="AE216" t="s">
        <v>193</v>
      </c>
      <c r="AF216" t="s">
        <v>194</v>
      </c>
      <c r="AH216" t="s">
        <v>195</v>
      </c>
      <c r="AI216">
        <v>1</v>
      </c>
      <c r="AJ216" t="s">
        <v>196</v>
      </c>
      <c r="AK216" t="s">
        <v>194</v>
      </c>
      <c r="AL216" t="s">
        <v>197</v>
      </c>
      <c r="AM216" t="s">
        <v>198</v>
      </c>
      <c r="AR216" t="s">
        <v>194</v>
      </c>
      <c r="AS216" t="s">
        <v>199</v>
      </c>
      <c r="AU216" t="s">
        <v>197</v>
      </c>
      <c r="AZ216" t="s">
        <v>194</v>
      </c>
      <c r="BA216" t="s">
        <v>200</v>
      </c>
      <c r="BB216" t="s">
        <v>201</v>
      </c>
      <c r="BD216" t="s">
        <v>200</v>
      </c>
      <c r="BE216" t="s">
        <v>229</v>
      </c>
      <c r="BF216" t="s">
        <v>197</v>
      </c>
      <c r="BG216" t="s">
        <v>262</v>
      </c>
      <c r="BH216" t="s">
        <v>263</v>
      </c>
      <c r="BJ216" t="s">
        <v>205</v>
      </c>
      <c r="BK216" t="s">
        <v>206</v>
      </c>
      <c r="BL216" t="s">
        <v>194</v>
      </c>
      <c r="BO216" t="s">
        <v>200</v>
      </c>
      <c r="BP216" t="s">
        <v>200</v>
      </c>
      <c r="BQ216" t="s">
        <v>286</v>
      </c>
      <c r="BR216" t="s">
        <v>232</v>
      </c>
      <c r="BT216" t="s">
        <v>197</v>
      </c>
      <c r="BV216" t="s">
        <v>233</v>
      </c>
      <c r="CA216" t="s">
        <v>194</v>
      </c>
      <c r="CB216" t="s">
        <v>214</v>
      </c>
      <c r="CF216" t="s">
        <v>215</v>
      </c>
      <c r="CH216" t="s">
        <v>214</v>
      </c>
      <c r="CI216" t="s">
        <v>214</v>
      </c>
      <c r="CJ216" t="s">
        <v>214</v>
      </c>
      <c r="CP216" t="s">
        <v>214</v>
      </c>
      <c r="CS216" t="s">
        <v>216</v>
      </c>
      <c r="CV216" t="s">
        <v>214</v>
      </c>
      <c r="CW216" t="s">
        <v>214</v>
      </c>
      <c r="CX216" t="s">
        <v>217</v>
      </c>
      <c r="CY216" t="s">
        <v>214</v>
      </c>
      <c r="DA216" t="s">
        <v>218</v>
      </c>
    </row>
    <row r="217" spans="1:105" x14ac:dyDescent="0.3">
      <c r="A217">
        <v>1228968</v>
      </c>
      <c r="B217">
        <v>59820</v>
      </c>
      <c r="C217" t="str">
        <f>"090824654778"</f>
        <v>090824654778</v>
      </c>
      <c r="D217" t="s">
        <v>829</v>
      </c>
      <c r="E217" t="s">
        <v>220</v>
      </c>
      <c r="F217" t="s">
        <v>830</v>
      </c>
      <c r="G217" s="1">
        <v>40049</v>
      </c>
      <c r="I217" t="s">
        <v>222</v>
      </c>
      <c r="J217" t="s">
        <v>188</v>
      </c>
      <c r="K217" t="s">
        <v>223</v>
      </c>
      <c r="Y217" t="str">
        <f>"2017-08-07T00:00:00"</f>
        <v>2017-08-07T00:00:00</v>
      </c>
      <c r="Z217" t="str">
        <f>"№25"</f>
        <v>№25</v>
      </c>
      <c r="AA217" t="s">
        <v>224</v>
      </c>
      <c r="AC217" t="s">
        <v>191</v>
      </c>
      <c r="AD217" t="s">
        <v>242</v>
      </c>
      <c r="AE217" t="s">
        <v>413</v>
      </c>
      <c r="AF217" t="s">
        <v>194</v>
      </c>
      <c r="AH217" t="s">
        <v>195</v>
      </c>
      <c r="AI217">
        <v>1</v>
      </c>
      <c r="AJ217" t="s">
        <v>196</v>
      </c>
      <c r="AK217" t="s">
        <v>194</v>
      </c>
      <c r="AL217" t="s">
        <v>197</v>
      </c>
      <c r="AM217" t="s">
        <v>228</v>
      </c>
      <c r="AR217" t="s">
        <v>214</v>
      </c>
      <c r="AU217" t="s">
        <v>197</v>
      </c>
      <c r="AZ217" t="s">
        <v>194</v>
      </c>
      <c r="BA217" t="s">
        <v>200</v>
      </c>
      <c r="BB217" t="s">
        <v>201</v>
      </c>
      <c r="BD217" t="s">
        <v>200</v>
      </c>
      <c r="BE217" t="s">
        <v>202</v>
      </c>
      <c r="BF217" t="s">
        <v>197</v>
      </c>
      <c r="BG217" t="s">
        <v>230</v>
      </c>
      <c r="BH217" t="s">
        <v>420</v>
      </c>
      <c r="BJ217" t="s">
        <v>205</v>
      </c>
      <c r="BK217" t="s">
        <v>206</v>
      </c>
      <c r="BL217" t="s">
        <v>194</v>
      </c>
      <c r="BO217" t="s">
        <v>200</v>
      </c>
      <c r="BP217" t="s">
        <v>200</v>
      </c>
      <c r="BR217" t="s">
        <v>232</v>
      </c>
      <c r="BT217" t="s">
        <v>197</v>
      </c>
      <c r="BV217" t="s">
        <v>233</v>
      </c>
      <c r="CA217" t="s">
        <v>194</v>
      </c>
      <c r="CB217" t="s">
        <v>214</v>
      </c>
      <c r="CF217" t="s">
        <v>215</v>
      </c>
      <c r="CH217" t="s">
        <v>214</v>
      </c>
      <c r="CI217" t="s">
        <v>214</v>
      </c>
      <c r="CJ217" t="s">
        <v>214</v>
      </c>
      <c r="CP217" t="s">
        <v>214</v>
      </c>
      <c r="CS217" t="s">
        <v>216</v>
      </c>
      <c r="CV217" t="s">
        <v>214</v>
      </c>
      <c r="CW217" t="s">
        <v>214</v>
      </c>
      <c r="CX217" t="s">
        <v>217</v>
      </c>
      <c r="CY217" t="s">
        <v>214</v>
      </c>
      <c r="DA217" t="s">
        <v>218</v>
      </c>
    </row>
    <row r="218" spans="1:105" x14ac:dyDescent="0.3">
      <c r="A218">
        <v>1229060</v>
      </c>
      <c r="B218">
        <v>617286</v>
      </c>
      <c r="C218" t="str">
        <f>"121130502023"</f>
        <v>121130502023</v>
      </c>
      <c r="D218" t="s">
        <v>831</v>
      </c>
      <c r="E218" t="s">
        <v>584</v>
      </c>
      <c r="F218" t="s">
        <v>832</v>
      </c>
      <c r="G218" s="1">
        <v>41243</v>
      </c>
      <c r="I218" t="s">
        <v>187</v>
      </c>
      <c r="J218" t="s">
        <v>188</v>
      </c>
      <c r="K218" t="s">
        <v>189</v>
      </c>
      <c r="Y218" t="str">
        <f>"2018-09-01T00:00:00"</f>
        <v>2018-09-01T00:00:00</v>
      </c>
      <c r="Z218" t="str">
        <f>"№26"</f>
        <v>№26</v>
      </c>
      <c r="AA218" t="s">
        <v>224</v>
      </c>
      <c r="AC218" t="s">
        <v>191</v>
      </c>
      <c r="AD218" t="s">
        <v>615</v>
      </c>
      <c r="AE218" t="s">
        <v>413</v>
      </c>
      <c r="AF218" t="s">
        <v>194</v>
      </c>
      <c r="AH218" t="s">
        <v>195</v>
      </c>
      <c r="AI218">
        <v>1</v>
      </c>
      <c r="AJ218" t="s">
        <v>196</v>
      </c>
      <c r="AK218" t="s">
        <v>194</v>
      </c>
      <c r="AL218" t="s">
        <v>197</v>
      </c>
      <c r="AM218" t="s">
        <v>198</v>
      </c>
      <c r="AR218" t="s">
        <v>194</v>
      </c>
      <c r="AS218" t="s">
        <v>199</v>
      </c>
      <c r="AU218" t="s">
        <v>197</v>
      </c>
      <c r="AZ218" t="s">
        <v>194</v>
      </c>
      <c r="BA218" t="s">
        <v>200</v>
      </c>
      <c r="BB218" t="s">
        <v>201</v>
      </c>
      <c r="BD218" t="s">
        <v>200</v>
      </c>
      <c r="BE218" t="s">
        <v>202</v>
      </c>
      <c r="BF218" t="s">
        <v>197</v>
      </c>
      <c r="BG218" t="s">
        <v>230</v>
      </c>
      <c r="BH218" t="s">
        <v>420</v>
      </c>
      <c r="BJ218" t="s">
        <v>205</v>
      </c>
      <c r="BK218" t="s">
        <v>206</v>
      </c>
      <c r="BL218" t="s">
        <v>194</v>
      </c>
      <c r="BO218" t="s">
        <v>200</v>
      </c>
      <c r="BP218" t="s">
        <v>200</v>
      </c>
      <c r="BQ218" s="2">
        <v>44805</v>
      </c>
      <c r="BR218" t="s">
        <v>232</v>
      </c>
      <c r="BT218" t="s">
        <v>197</v>
      </c>
      <c r="BV218" t="s">
        <v>233</v>
      </c>
      <c r="CA218" t="s">
        <v>194</v>
      </c>
      <c r="CB218" t="s">
        <v>194</v>
      </c>
      <c r="CC218" t="s">
        <v>264</v>
      </c>
      <c r="CD218" t="s">
        <v>265</v>
      </c>
      <c r="CE218" t="s">
        <v>266</v>
      </c>
      <c r="CF218" t="s">
        <v>215</v>
      </c>
      <c r="CH218" t="s">
        <v>214</v>
      </c>
      <c r="CI218" t="s">
        <v>214</v>
      </c>
      <c r="CJ218" t="s">
        <v>214</v>
      </c>
      <c r="CP218" t="s">
        <v>214</v>
      </c>
      <c r="CS218" t="s">
        <v>216</v>
      </c>
      <c r="CV218" t="s">
        <v>214</v>
      </c>
      <c r="CW218" t="s">
        <v>214</v>
      </c>
      <c r="CX218" t="s">
        <v>217</v>
      </c>
      <c r="CY218" t="s">
        <v>214</v>
      </c>
      <c r="DA218" t="s">
        <v>218</v>
      </c>
    </row>
    <row r="219" spans="1:105" x14ac:dyDescent="0.3">
      <c r="A219">
        <v>10340265</v>
      </c>
      <c r="B219">
        <v>2157271</v>
      </c>
      <c r="C219" t="str">
        <f>"090507550235"</f>
        <v>090507550235</v>
      </c>
      <c r="D219" t="s">
        <v>833</v>
      </c>
      <c r="E219" t="s">
        <v>834</v>
      </c>
      <c r="F219" t="s">
        <v>390</v>
      </c>
      <c r="G219" s="1">
        <v>39940</v>
      </c>
      <c r="I219" t="s">
        <v>187</v>
      </c>
      <c r="J219" t="s">
        <v>188</v>
      </c>
      <c r="K219" t="s">
        <v>223</v>
      </c>
      <c r="Y219" t="str">
        <f>"2018-11-12T00:00:00"</f>
        <v>2018-11-12T00:00:00</v>
      </c>
      <c r="Z219" t="str">
        <f>"№44"</f>
        <v>№44</v>
      </c>
      <c r="AA219" t="s">
        <v>835</v>
      </c>
      <c r="AC219" t="s">
        <v>191</v>
      </c>
      <c r="AD219" t="s">
        <v>242</v>
      </c>
      <c r="AE219" t="s">
        <v>413</v>
      </c>
      <c r="AF219" t="s">
        <v>194</v>
      </c>
      <c r="AH219" t="s">
        <v>195</v>
      </c>
      <c r="AI219">
        <v>1</v>
      </c>
      <c r="AJ219" t="s">
        <v>196</v>
      </c>
      <c r="AK219" t="s">
        <v>194</v>
      </c>
      <c r="AL219" t="s">
        <v>197</v>
      </c>
      <c r="AM219" t="s">
        <v>228</v>
      </c>
      <c r="AR219" t="s">
        <v>214</v>
      </c>
      <c r="AU219" t="s">
        <v>197</v>
      </c>
      <c r="AZ219" t="s">
        <v>194</v>
      </c>
      <c r="BA219" t="s">
        <v>200</v>
      </c>
      <c r="BB219" t="s">
        <v>201</v>
      </c>
      <c r="BD219" t="s">
        <v>200</v>
      </c>
      <c r="BE219" t="s">
        <v>202</v>
      </c>
      <c r="BF219" t="s">
        <v>197</v>
      </c>
      <c r="BG219" t="s">
        <v>230</v>
      </c>
      <c r="BH219" t="s">
        <v>516</v>
      </c>
      <c r="BJ219" t="s">
        <v>205</v>
      </c>
      <c r="BK219" t="s">
        <v>206</v>
      </c>
      <c r="BL219" t="s">
        <v>194</v>
      </c>
      <c r="BO219" t="s">
        <v>216</v>
      </c>
      <c r="BP219" t="s">
        <v>216</v>
      </c>
      <c r="BR219" t="s">
        <v>232</v>
      </c>
      <c r="BT219" t="s">
        <v>197</v>
      </c>
      <c r="BV219" t="s">
        <v>233</v>
      </c>
      <c r="CA219" t="s">
        <v>194</v>
      </c>
      <c r="CB219" t="s">
        <v>214</v>
      </c>
      <c r="CF219" t="s">
        <v>215</v>
      </c>
      <c r="CH219" t="s">
        <v>214</v>
      </c>
      <c r="CI219" t="s">
        <v>214</v>
      </c>
      <c r="CJ219" t="s">
        <v>214</v>
      </c>
      <c r="CP219" t="s">
        <v>214</v>
      </c>
      <c r="CS219" t="s">
        <v>216</v>
      </c>
      <c r="CV219" t="s">
        <v>214</v>
      </c>
      <c r="CW219" t="s">
        <v>214</v>
      </c>
      <c r="CX219" t="s">
        <v>217</v>
      </c>
      <c r="CY219" t="s">
        <v>214</v>
      </c>
      <c r="DA219" t="s">
        <v>218</v>
      </c>
    </row>
    <row r="220" spans="1:105" x14ac:dyDescent="0.3">
      <c r="A220">
        <v>12537863</v>
      </c>
      <c r="B220">
        <v>5955714</v>
      </c>
      <c r="C220" t="str">
        <f>"080821550314"</f>
        <v>080821550314</v>
      </c>
      <c r="D220" t="s">
        <v>836</v>
      </c>
      <c r="E220" t="s">
        <v>376</v>
      </c>
      <c r="F220" t="s">
        <v>515</v>
      </c>
      <c r="G220" s="1">
        <v>39681</v>
      </c>
      <c r="I220" t="s">
        <v>187</v>
      </c>
      <c r="J220" t="s">
        <v>188</v>
      </c>
      <c r="K220" t="s">
        <v>223</v>
      </c>
      <c r="Y220" t="str">
        <f>"2019-08-29T00:00:00"</f>
        <v>2019-08-29T00:00:00</v>
      </c>
      <c r="Z220" t="str">
        <f>"32"</f>
        <v>32</v>
      </c>
      <c r="AA220" t="s">
        <v>835</v>
      </c>
      <c r="AC220" t="s">
        <v>191</v>
      </c>
      <c r="AD220" t="s">
        <v>226</v>
      </c>
      <c r="AE220" t="s">
        <v>193</v>
      </c>
      <c r="AF220" t="s">
        <v>194</v>
      </c>
      <c r="AH220" t="s">
        <v>195</v>
      </c>
      <c r="AI220">
        <v>2</v>
      </c>
      <c r="AJ220" t="s">
        <v>196</v>
      </c>
      <c r="AK220" t="s">
        <v>194</v>
      </c>
      <c r="AL220" t="s">
        <v>197</v>
      </c>
      <c r="AM220" t="s">
        <v>198</v>
      </c>
      <c r="AR220" t="s">
        <v>194</v>
      </c>
      <c r="AS220" t="s">
        <v>199</v>
      </c>
      <c r="AU220" t="s">
        <v>197</v>
      </c>
      <c r="AZ220" t="s">
        <v>194</v>
      </c>
      <c r="BA220" t="s">
        <v>200</v>
      </c>
      <c r="BB220" t="s">
        <v>201</v>
      </c>
      <c r="BD220" t="s">
        <v>200</v>
      </c>
      <c r="BE220" t="s">
        <v>202</v>
      </c>
      <c r="BF220" t="s">
        <v>197</v>
      </c>
      <c r="BG220" t="s">
        <v>230</v>
      </c>
      <c r="BH220" t="s">
        <v>400</v>
      </c>
      <c r="BJ220" t="s">
        <v>205</v>
      </c>
      <c r="BK220" t="s">
        <v>206</v>
      </c>
      <c r="BL220" t="s">
        <v>194</v>
      </c>
      <c r="BO220" t="s">
        <v>200</v>
      </c>
      <c r="BP220" t="s">
        <v>200</v>
      </c>
      <c r="BR220" t="s">
        <v>232</v>
      </c>
      <c r="BT220" t="s">
        <v>197</v>
      </c>
      <c r="BV220" t="s">
        <v>415</v>
      </c>
      <c r="BW220" t="s">
        <v>416</v>
      </c>
      <c r="BX220" t="s">
        <v>301</v>
      </c>
      <c r="BY220" t="s">
        <v>212</v>
      </c>
      <c r="BZ220" t="s">
        <v>837</v>
      </c>
      <c r="CA220" t="s">
        <v>214</v>
      </c>
      <c r="CB220" t="s">
        <v>214</v>
      </c>
      <c r="CF220" t="s">
        <v>215</v>
      </c>
      <c r="CH220" t="s">
        <v>214</v>
      </c>
      <c r="CI220" t="s">
        <v>214</v>
      </c>
      <c r="CJ220" t="s">
        <v>214</v>
      </c>
      <c r="CP220" t="s">
        <v>214</v>
      </c>
      <c r="CS220" t="s">
        <v>216</v>
      </c>
      <c r="CV220" t="s">
        <v>214</v>
      </c>
      <c r="CW220" t="s">
        <v>214</v>
      </c>
      <c r="CX220" t="s">
        <v>217</v>
      </c>
      <c r="CY220" t="s">
        <v>214</v>
      </c>
      <c r="DA220" t="s">
        <v>218</v>
      </c>
    </row>
    <row r="221" spans="1:105" x14ac:dyDescent="0.3">
      <c r="A221">
        <v>12557770</v>
      </c>
      <c r="B221">
        <v>6012326</v>
      </c>
      <c r="C221" t="str">
        <f>"080207650957"</f>
        <v>080207650957</v>
      </c>
      <c r="D221" t="s">
        <v>838</v>
      </c>
      <c r="E221" t="s">
        <v>235</v>
      </c>
      <c r="F221" t="s">
        <v>839</v>
      </c>
      <c r="G221" s="1">
        <v>39485</v>
      </c>
      <c r="I221" t="s">
        <v>222</v>
      </c>
      <c r="J221" t="s">
        <v>188</v>
      </c>
      <c r="K221" t="s">
        <v>223</v>
      </c>
      <c r="Y221" t="str">
        <f>"2019-08-29T00:00:00"</f>
        <v>2019-08-29T00:00:00</v>
      </c>
      <c r="Z221" t="str">
        <f>"32"</f>
        <v>32</v>
      </c>
      <c r="AA221" t="s">
        <v>835</v>
      </c>
      <c r="AC221" t="s">
        <v>255</v>
      </c>
      <c r="AD221" t="s">
        <v>226</v>
      </c>
      <c r="AE221" t="s">
        <v>193</v>
      </c>
      <c r="AF221" t="s">
        <v>194</v>
      </c>
      <c r="AH221" t="s">
        <v>195</v>
      </c>
      <c r="AI221">
        <v>2</v>
      </c>
      <c r="AJ221" t="s">
        <v>196</v>
      </c>
      <c r="AK221" t="s">
        <v>194</v>
      </c>
      <c r="AL221" t="s">
        <v>197</v>
      </c>
      <c r="AM221" t="s">
        <v>228</v>
      </c>
      <c r="AR221" t="s">
        <v>194</v>
      </c>
      <c r="AS221" t="s">
        <v>199</v>
      </c>
      <c r="AU221" t="s">
        <v>197</v>
      </c>
      <c r="AZ221" t="s">
        <v>194</v>
      </c>
      <c r="BA221" t="s">
        <v>200</v>
      </c>
      <c r="BB221" t="s">
        <v>201</v>
      </c>
      <c r="BD221" t="s">
        <v>200</v>
      </c>
      <c r="BE221" t="s">
        <v>202</v>
      </c>
      <c r="BF221" t="s">
        <v>197</v>
      </c>
      <c r="BG221" t="s">
        <v>230</v>
      </c>
      <c r="BH221" t="s">
        <v>400</v>
      </c>
      <c r="BJ221" t="s">
        <v>205</v>
      </c>
      <c r="BK221" t="s">
        <v>206</v>
      </c>
      <c r="BL221" t="s">
        <v>214</v>
      </c>
      <c r="BO221" t="s">
        <v>200</v>
      </c>
      <c r="BP221" t="s">
        <v>200</v>
      </c>
      <c r="BR221" t="s">
        <v>207</v>
      </c>
      <c r="BS221" t="s">
        <v>208</v>
      </c>
      <c r="BT221" t="s">
        <v>197</v>
      </c>
      <c r="BV221" t="s">
        <v>233</v>
      </c>
      <c r="CA221" t="s">
        <v>194</v>
      </c>
      <c r="CB221" t="s">
        <v>214</v>
      </c>
      <c r="CF221" t="s">
        <v>215</v>
      </c>
      <c r="CH221" t="s">
        <v>214</v>
      </c>
      <c r="CI221" t="s">
        <v>214</v>
      </c>
      <c r="CJ221" t="s">
        <v>214</v>
      </c>
      <c r="CP221" t="s">
        <v>214</v>
      </c>
      <c r="CS221" t="s">
        <v>216</v>
      </c>
      <c r="CV221" t="s">
        <v>214</v>
      </c>
      <c r="CW221" t="s">
        <v>214</v>
      </c>
      <c r="CX221" t="s">
        <v>217</v>
      </c>
      <c r="CY221" t="s">
        <v>214</v>
      </c>
      <c r="DA221" t="s">
        <v>218</v>
      </c>
    </row>
    <row r="222" spans="1:105" x14ac:dyDescent="0.3">
      <c r="A222">
        <v>1229095</v>
      </c>
      <c r="B222">
        <v>617624</v>
      </c>
      <c r="C222" t="str">
        <f>"101028504349"</f>
        <v>101028504349</v>
      </c>
      <c r="D222" t="s">
        <v>384</v>
      </c>
      <c r="E222" t="s">
        <v>512</v>
      </c>
      <c r="F222" t="s">
        <v>344</v>
      </c>
      <c r="G222" s="1">
        <v>40479</v>
      </c>
      <c r="I222" t="s">
        <v>187</v>
      </c>
      <c r="J222" t="s">
        <v>188</v>
      </c>
      <c r="K222" t="s">
        <v>298</v>
      </c>
      <c r="Y222" t="str">
        <f>"2017-08-15T00:00:00"</f>
        <v>2017-08-15T00:00:00</v>
      </c>
      <c r="Z222" t="str">
        <f>"№06"</f>
        <v>№06</v>
      </c>
      <c r="AA222" t="s">
        <v>224</v>
      </c>
      <c r="AC222" t="s">
        <v>225</v>
      </c>
      <c r="AD222" t="s">
        <v>261</v>
      </c>
      <c r="AE222" t="s">
        <v>193</v>
      </c>
      <c r="AF222" t="s">
        <v>194</v>
      </c>
      <c r="AH222" t="s">
        <v>195</v>
      </c>
      <c r="AI222">
        <v>2</v>
      </c>
      <c r="AJ222" t="s">
        <v>196</v>
      </c>
      <c r="AK222" t="s">
        <v>194</v>
      </c>
      <c r="AL222" t="s">
        <v>197</v>
      </c>
      <c r="AM222" t="s">
        <v>198</v>
      </c>
      <c r="AR222" t="s">
        <v>194</v>
      </c>
      <c r="AS222" t="s">
        <v>199</v>
      </c>
      <c r="AU222" t="s">
        <v>197</v>
      </c>
      <c r="AZ222" t="s">
        <v>194</v>
      </c>
      <c r="BA222" t="s">
        <v>200</v>
      </c>
      <c r="BB222" t="s">
        <v>201</v>
      </c>
      <c r="BD222" t="s">
        <v>200</v>
      </c>
      <c r="BE222" t="s">
        <v>229</v>
      </c>
      <c r="BF222" t="s">
        <v>197</v>
      </c>
      <c r="BG222" t="s">
        <v>262</v>
      </c>
      <c r="BH222" t="s">
        <v>307</v>
      </c>
      <c r="BJ222" t="s">
        <v>205</v>
      </c>
      <c r="BK222" t="s">
        <v>206</v>
      </c>
      <c r="BL222" t="s">
        <v>194</v>
      </c>
      <c r="BO222" t="s">
        <v>216</v>
      </c>
      <c r="BP222" t="s">
        <v>216</v>
      </c>
      <c r="BR222" t="s">
        <v>246</v>
      </c>
      <c r="BS222" t="s">
        <v>208</v>
      </c>
      <c r="BT222" t="s">
        <v>197</v>
      </c>
      <c r="BV222" t="s">
        <v>471</v>
      </c>
      <c r="BW222" t="s">
        <v>840</v>
      </c>
      <c r="BX222" t="s">
        <v>539</v>
      </c>
      <c r="BY222" t="s">
        <v>534</v>
      </c>
      <c r="BZ222" t="s">
        <v>841</v>
      </c>
      <c r="CA222" t="s">
        <v>194</v>
      </c>
      <c r="CB222" t="s">
        <v>214</v>
      </c>
      <c r="CF222" t="s">
        <v>215</v>
      </c>
      <c r="CH222" t="s">
        <v>214</v>
      </c>
      <c r="CI222" t="s">
        <v>214</v>
      </c>
      <c r="CJ222" t="s">
        <v>214</v>
      </c>
      <c r="CP222" t="s">
        <v>214</v>
      </c>
      <c r="CS222" t="s">
        <v>216</v>
      </c>
      <c r="CV222" t="s">
        <v>214</v>
      </c>
      <c r="CW222" t="s">
        <v>214</v>
      </c>
      <c r="CX222" t="s">
        <v>217</v>
      </c>
      <c r="CY222" t="s">
        <v>214</v>
      </c>
      <c r="DA222" t="s">
        <v>218</v>
      </c>
    </row>
    <row r="223" spans="1:105" x14ac:dyDescent="0.3">
      <c r="A223">
        <v>1229146</v>
      </c>
      <c r="B223">
        <v>933680</v>
      </c>
      <c r="C223" t="str">
        <f>"130527501528"</f>
        <v>130527501528</v>
      </c>
      <c r="D223" t="s">
        <v>842</v>
      </c>
      <c r="E223" t="s">
        <v>588</v>
      </c>
      <c r="F223" t="s">
        <v>186</v>
      </c>
      <c r="G223" s="1">
        <v>41421</v>
      </c>
      <c r="I223" t="s">
        <v>187</v>
      </c>
      <c r="J223" t="s">
        <v>188</v>
      </c>
      <c r="K223" t="s">
        <v>189</v>
      </c>
      <c r="Y223" t="str">
        <f>"2018-09-01T00:00:00"</f>
        <v>2018-09-01T00:00:00</v>
      </c>
      <c r="Z223" t="str">
        <f>"№26"</f>
        <v>№26</v>
      </c>
      <c r="AA223" t="s">
        <v>224</v>
      </c>
      <c r="AC223" t="s">
        <v>225</v>
      </c>
      <c r="AD223" t="s">
        <v>615</v>
      </c>
      <c r="AE223" t="s">
        <v>227</v>
      </c>
      <c r="AF223" t="s">
        <v>194</v>
      </c>
      <c r="AH223" t="s">
        <v>195</v>
      </c>
      <c r="AI223">
        <v>1</v>
      </c>
      <c r="AJ223" t="s">
        <v>196</v>
      </c>
      <c r="AK223" t="s">
        <v>194</v>
      </c>
      <c r="AL223" t="s">
        <v>197</v>
      </c>
      <c r="AM223" t="s">
        <v>228</v>
      </c>
      <c r="AR223" t="s">
        <v>194</v>
      </c>
      <c r="AS223" t="s">
        <v>199</v>
      </c>
      <c r="AU223" t="s">
        <v>197</v>
      </c>
      <c r="AZ223" t="s">
        <v>194</v>
      </c>
      <c r="BA223" t="s">
        <v>200</v>
      </c>
      <c r="BB223" t="s">
        <v>201</v>
      </c>
      <c r="BD223" t="s">
        <v>200</v>
      </c>
      <c r="BE223" t="s">
        <v>202</v>
      </c>
      <c r="BF223" t="s">
        <v>197</v>
      </c>
      <c r="BG223" t="s">
        <v>230</v>
      </c>
      <c r="BH223" t="s">
        <v>420</v>
      </c>
      <c r="BJ223" t="s">
        <v>205</v>
      </c>
      <c r="BK223" t="s">
        <v>206</v>
      </c>
      <c r="BL223" t="s">
        <v>214</v>
      </c>
      <c r="BO223" t="s">
        <v>200</v>
      </c>
      <c r="BP223" t="s">
        <v>200</v>
      </c>
      <c r="BQ223" s="2">
        <v>44805</v>
      </c>
      <c r="BR223" t="s">
        <v>232</v>
      </c>
      <c r="BT223" t="s">
        <v>197</v>
      </c>
      <c r="BV223" t="s">
        <v>233</v>
      </c>
      <c r="CA223" t="s">
        <v>214</v>
      </c>
      <c r="CB223" t="s">
        <v>194</v>
      </c>
      <c r="CC223" t="s">
        <v>264</v>
      </c>
      <c r="CD223" t="s">
        <v>265</v>
      </c>
      <c r="CE223" t="s">
        <v>266</v>
      </c>
      <c r="CF223" t="s">
        <v>215</v>
      </c>
      <c r="CH223" t="s">
        <v>214</v>
      </c>
      <c r="CI223" t="s">
        <v>214</v>
      </c>
      <c r="CJ223" t="s">
        <v>214</v>
      </c>
      <c r="CP223" t="s">
        <v>214</v>
      </c>
      <c r="CS223" t="s">
        <v>216</v>
      </c>
      <c r="CV223" t="s">
        <v>214</v>
      </c>
      <c r="CW223" t="s">
        <v>214</v>
      </c>
      <c r="CX223" t="s">
        <v>217</v>
      </c>
      <c r="CY223" t="s">
        <v>214</v>
      </c>
      <c r="DA223" t="s">
        <v>218</v>
      </c>
    </row>
    <row r="224" spans="1:105" x14ac:dyDescent="0.3">
      <c r="A224">
        <v>1229228</v>
      </c>
      <c r="B224">
        <v>933724</v>
      </c>
      <c r="C224" t="str">
        <f>"121002603696"</f>
        <v>121002603696</v>
      </c>
      <c r="D224" t="s">
        <v>843</v>
      </c>
      <c r="E224" t="s">
        <v>844</v>
      </c>
      <c r="F224" t="s">
        <v>550</v>
      </c>
      <c r="G224" s="1">
        <v>41184</v>
      </c>
      <c r="I224" t="s">
        <v>222</v>
      </c>
      <c r="J224" t="s">
        <v>188</v>
      </c>
      <c r="K224" t="s">
        <v>223</v>
      </c>
      <c r="Y224" t="str">
        <f>"2019-08-29T00:00:00"</f>
        <v>2019-08-29T00:00:00</v>
      </c>
      <c r="Z224" t="str">
        <f>"№26"</f>
        <v>№26</v>
      </c>
      <c r="AA224" t="s">
        <v>224</v>
      </c>
      <c r="AC224" t="s">
        <v>191</v>
      </c>
      <c r="AD224" t="s">
        <v>615</v>
      </c>
      <c r="AE224" t="s">
        <v>413</v>
      </c>
      <c r="AF224" t="s">
        <v>194</v>
      </c>
      <c r="AH224" t="s">
        <v>195</v>
      </c>
      <c r="AI224">
        <v>1</v>
      </c>
      <c r="AJ224" t="s">
        <v>196</v>
      </c>
      <c r="AK224" t="s">
        <v>194</v>
      </c>
      <c r="AL224" t="s">
        <v>197</v>
      </c>
      <c r="AM224" t="s">
        <v>228</v>
      </c>
      <c r="AR224" t="s">
        <v>194</v>
      </c>
      <c r="AS224" t="s">
        <v>199</v>
      </c>
      <c r="AU224" t="s">
        <v>197</v>
      </c>
      <c r="AZ224" t="s">
        <v>194</v>
      </c>
      <c r="BA224" t="s">
        <v>200</v>
      </c>
      <c r="BB224" t="s">
        <v>201</v>
      </c>
      <c r="BD224" t="s">
        <v>200</v>
      </c>
      <c r="BE224" t="s">
        <v>229</v>
      </c>
      <c r="BF224" t="s">
        <v>197</v>
      </c>
      <c r="BG224" t="s">
        <v>230</v>
      </c>
      <c r="BH224" t="s">
        <v>307</v>
      </c>
      <c r="BJ224" t="s">
        <v>205</v>
      </c>
      <c r="BK224" t="s">
        <v>206</v>
      </c>
      <c r="BL224" t="s">
        <v>194</v>
      </c>
      <c r="BO224" t="s">
        <v>200</v>
      </c>
      <c r="BP224" t="s">
        <v>200</v>
      </c>
      <c r="BQ224" s="2">
        <v>44805</v>
      </c>
      <c r="BR224" t="s">
        <v>232</v>
      </c>
      <c r="BT224" t="s">
        <v>197</v>
      </c>
      <c r="BV224" t="s">
        <v>471</v>
      </c>
      <c r="BW224" t="s">
        <v>416</v>
      </c>
      <c r="BX224" t="s">
        <v>539</v>
      </c>
      <c r="BY224" t="s">
        <v>534</v>
      </c>
      <c r="BZ224" t="s">
        <v>845</v>
      </c>
      <c r="CA224" t="s">
        <v>214</v>
      </c>
      <c r="CB224" t="s">
        <v>194</v>
      </c>
      <c r="CC224" t="s">
        <v>264</v>
      </c>
      <c r="CD224" t="s">
        <v>265</v>
      </c>
      <c r="CE224" t="s">
        <v>266</v>
      </c>
      <c r="CF224" t="s">
        <v>215</v>
      </c>
      <c r="CH224" t="s">
        <v>214</v>
      </c>
      <c r="CI224" t="s">
        <v>214</v>
      </c>
      <c r="CJ224" t="s">
        <v>214</v>
      </c>
      <c r="CP224" t="s">
        <v>214</v>
      </c>
      <c r="CS224" t="s">
        <v>216</v>
      </c>
      <c r="CV224" t="s">
        <v>214</v>
      </c>
      <c r="CW224" t="s">
        <v>214</v>
      </c>
      <c r="CX224" t="s">
        <v>217</v>
      </c>
      <c r="CY224" t="s">
        <v>214</v>
      </c>
      <c r="DA224" t="s">
        <v>218</v>
      </c>
    </row>
    <row r="225" spans="1:105" x14ac:dyDescent="0.3">
      <c r="A225">
        <v>12888062</v>
      </c>
      <c r="B225">
        <v>79039</v>
      </c>
      <c r="C225" t="str">
        <f>"071122551706"</f>
        <v>071122551706</v>
      </c>
      <c r="D225" t="s">
        <v>846</v>
      </c>
      <c r="E225" t="s">
        <v>847</v>
      </c>
      <c r="F225" t="s">
        <v>848</v>
      </c>
      <c r="G225" s="1">
        <v>39408</v>
      </c>
      <c r="I225" t="s">
        <v>187</v>
      </c>
      <c r="J225" t="s">
        <v>188</v>
      </c>
      <c r="K225" t="s">
        <v>189</v>
      </c>
      <c r="Y225" t="str">
        <f>"2019-08-29T00:00:00"</f>
        <v>2019-08-29T00:00:00</v>
      </c>
      <c r="Z225" t="str">
        <f>"32"</f>
        <v>32</v>
      </c>
      <c r="AA225" t="s">
        <v>224</v>
      </c>
      <c r="AB225" t="str">
        <f>"akm_arshalu_novoaleksandrovka@mail.ru"</f>
        <v>akm_arshalu_novoaleksandrovka@mail.ru</v>
      </c>
      <c r="AC225" t="s">
        <v>191</v>
      </c>
      <c r="AD225" t="s">
        <v>192</v>
      </c>
      <c r="AE225" t="s">
        <v>193</v>
      </c>
      <c r="AF225" t="s">
        <v>194</v>
      </c>
      <c r="AH225" t="s">
        <v>195</v>
      </c>
      <c r="AI225">
        <v>2</v>
      </c>
      <c r="AJ225" t="s">
        <v>196</v>
      </c>
      <c r="AK225" t="s">
        <v>194</v>
      </c>
      <c r="AL225" t="s">
        <v>197</v>
      </c>
      <c r="AM225" t="s">
        <v>228</v>
      </c>
      <c r="AR225" t="s">
        <v>194</v>
      </c>
      <c r="AS225" t="s">
        <v>199</v>
      </c>
      <c r="AU225" t="s">
        <v>197</v>
      </c>
      <c r="AZ225" t="s">
        <v>194</v>
      </c>
      <c r="BA225" t="s">
        <v>200</v>
      </c>
      <c r="BB225" t="s">
        <v>201</v>
      </c>
      <c r="BD225" t="s">
        <v>200</v>
      </c>
      <c r="BE225" t="s">
        <v>202</v>
      </c>
      <c r="BF225" t="s">
        <v>197</v>
      </c>
      <c r="BG225" t="s">
        <v>290</v>
      </c>
      <c r="BH225" t="s">
        <v>849</v>
      </c>
      <c r="BJ225" t="s">
        <v>205</v>
      </c>
      <c r="BK225" t="s">
        <v>206</v>
      </c>
      <c r="BL225" t="s">
        <v>194</v>
      </c>
      <c r="BO225" t="s">
        <v>200</v>
      </c>
      <c r="BP225" t="s">
        <v>200</v>
      </c>
      <c r="BR225" t="s">
        <v>246</v>
      </c>
      <c r="BS225" t="s">
        <v>208</v>
      </c>
      <c r="BT225" t="s">
        <v>197</v>
      </c>
      <c r="BV225" t="s">
        <v>233</v>
      </c>
      <c r="CA225" t="s">
        <v>194</v>
      </c>
      <c r="CB225" t="s">
        <v>214</v>
      </c>
      <c r="CF225" t="s">
        <v>215</v>
      </c>
      <c r="CH225" t="s">
        <v>214</v>
      </c>
      <c r="CI225" t="s">
        <v>214</v>
      </c>
      <c r="CJ225" t="s">
        <v>214</v>
      </c>
      <c r="CP225" t="s">
        <v>214</v>
      </c>
      <c r="CS225" t="s">
        <v>216</v>
      </c>
      <c r="CV225" t="s">
        <v>214</v>
      </c>
      <c r="CW225" t="s">
        <v>214</v>
      </c>
      <c r="CX225" t="s">
        <v>217</v>
      </c>
      <c r="CY225" t="s">
        <v>214</v>
      </c>
      <c r="DA225" t="s">
        <v>218</v>
      </c>
    </row>
    <row r="226" spans="1:105" x14ac:dyDescent="0.3">
      <c r="A226">
        <v>13548709</v>
      </c>
      <c r="B226">
        <v>4163996</v>
      </c>
      <c r="C226" t="str">
        <f>"130318604047"</f>
        <v>130318604047</v>
      </c>
      <c r="D226" t="s">
        <v>765</v>
      </c>
      <c r="E226" t="s">
        <v>630</v>
      </c>
      <c r="F226" t="s">
        <v>850</v>
      </c>
      <c r="G226" s="1">
        <v>41351</v>
      </c>
      <c r="I226" t="s">
        <v>222</v>
      </c>
      <c r="J226" t="s">
        <v>188</v>
      </c>
      <c r="K226" t="s">
        <v>189</v>
      </c>
      <c r="Y226" t="str">
        <f>"2019-08-05T00:00:00"</f>
        <v>2019-08-05T00:00:00</v>
      </c>
      <c r="Z226" t="str">
        <f>"29"</f>
        <v>29</v>
      </c>
      <c r="AA226" t="s">
        <v>190</v>
      </c>
      <c r="AC226" t="s">
        <v>225</v>
      </c>
      <c r="AD226" t="s">
        <v>615</v>
      </c>
      <c r="AE226" t="s">
        <v>227</v>
      </c>
      <c r="AF226" t="s">
        <v>194</v>
      </c>
      <c r="AH226" t="s">
        <v>195</v>
      </c>
      <c r="AI226">
        <v>1</v>
      </c>
      <c r="AJ226" t="s">
        <v>196</v>
      </c>
      <c r="AK226" t="s">
        <v>194</v>
      </c>
      <c r="AL226" t="s">
        <v>197</v>
      </c>
      <c r="AM226" t="s">
        <v>198</v>
      </c>
      <c r="AR226" t="s">
        <v>194</v>
      </c>
      <c r="AS226" t="s">
        <v>199</v>
      </c>
      <c r="AU226" t="s">
        <v>197</v>
      </c>
      <c r="AZ226" t="s">
        <v>194</v>
      </c>
      <c r="BA226" t="s">
        <v>200</v>
      </c>
      <c r="BB226" t="s">
        <v>201</v>
      </c>
      <c r="BE226" t="s">
        <v>244</v>
      </c>
      <c r="BF226" t="s">
        <v>197</v>
      </c>
      <c r="BG226" t="s">
        <v>238</v>
      </c>
      <c r="BH226">
        <v>5</v>
      </c>
      <c r="BJ226" t="s">
        <v>205</v>
      </c>
      <c r="BK226" t="s">
        <v>206</v>
      </c>
      <c r="BL226" t="s">
        <v>214</v>
      </c>
      <c r="BO226" t="s">
        <v>200</v>
      </c>
      <c r="BP226" t="s">
        <v>200</v>
      </c>
      <c r="BQ226" s="3">
        <v>45566</v>
      </c>
      <c r="BR226" t="s">
        <v>232</v>
      </c>
      <c r="BT226" t="s">
        <v>197</v>
      </c>
      <c r="BV226" t="s">
        <v>471</v>
      </c>
      <c r="BW226" t="s">
        <v>416</v>
      </c>
      <c r="BX226" t="s">
        <v>539</v>
      </c>
      <c r="BY226" t="s">
        <v>534</v>
      </c>
      <c r="BZ226" t="s">
        <v>845</v>
      </c>
      <c r="CA226" t="s">
        <v>194</v>
      </c>
      <c r="CB226" t="s">
        <v>214</v>
      </c>
      <c r="CF226" t="s">
        <v>215</v>
      </c>
      <c r="CH226" t="s">
        <v>214</v>
      </c>
      <c r="CI226" t="s">
        <v>214</v>
      </c>
      <c r="CJ226" t="s">
        <v>214</v>
      </c>
      <c r="CP226" t="s">
        <v>214</v>
      </c>
      <c r="CS226" t="s">
        <v>216</v>
      </c>
      <c r="CV226" t="s">
        <v>214</v>
      </c>
      <c r="CW226" t="s">
        <v>194</v>
      </c>
      <c r="CX226" t="s">
        <v>217</v>
      </c>
      <c r="CY226" t="s">
        <v>214</v>
      </c>
      <c r="DA226" t="s">
        <v>218</v>
      </c>
    </row>
    <row r="227" spans="1:105" x14ac:dyDescent="0.3">
      <c r="A227">
        <v>1229266</v>
      </c>
      <c r="B227">
        <v>618259</v>
      </c>
      <c r="C227" t="str">
        <f>"120905602377"</f>
        <v>120905602377</v>
      </c>
      <c r="D227" t="s">
        <v>851</v>
      </c>
      <c r="E227" t="s">
        <v>442</v>
      </c>
      <c r="F227" t="s">
        <v>365</v>
      </c>
      <c r="G227" s="1">
        <v>41157</v>
      </c>
      <c r="I227" t="s">
        <v>222</v>
      </c>
      <c r="J227" t="s">
        <v>188</v>
      </c>
      <c r="K227" t="s">
        <v>223</v>
      </c>
      <c r="Y227" t="str">
        <f>"2018-09-01T00:00:00"</f>
        <v>2018-09-01T00:00:00</v>
      </c>
      <c r="Z227" t="str">
        <f>"№26"</f>
        <v>№26</v>
      </c>
      <c r="AA227" t="s">
        <v>224</v>
      </c>
      <c r="AC227" t="s">
        <v>225</v>
      </c>
      <c r="AD227" t="s">
        <v>615</v>
      </c>
      <c r="AE227" t="s">
        <v>227</v>
      </c>
      <c r="AF227" t="s">
        <v>194</v>
      </c>
      <c r="AH227" t="s">
        <v>195</v>
      </c>
      <c r="AI227">
        <v>1</v>
      </c>
      <c r="AJ227" t="s">
        <v>196</v>
      </c>
      <c r="AK227" t="s">
        <v>194</v>
      </c>
      <c r="AL227" t="s">
        <v>197</v>
      </c>
      <c r="AM227" t="s">
        <v>198</v>
      </c>
      <c r="AQ227" t="str">
        <f>"2020-11-04T09:34:40"</f>
        <v>2020-11-04T09:34:40</v>
      </c>
      <c r="AR227" t="s">
        <v>194</v>
      </c>
      <c r="AS227" t="s">
        <v>199</v>
      </c>
      <c r="AU227" t="s">
        <v>197</v>
      </c>
      <c r="AZ227" t="s">
        <v>194</v>
      </c>
      <c r="BA227" t="s">
        <v>200</v>
      </c>
      <c r="BB227" t="s">
        <v>201</v>
      </c>
      <c r="BD227" t="s">
        <v>200</v>
      </c>
      <c r="BE227" t="s">
        <v>229</v>
      </c>
      <c r="BF227" t="s">
        <v>197</v>
      </c>
      <c r="BG227" t="s">
        <v>230</v>
      </c>
      <c r="BH227" t="s">
        <v>608</v>
      </c>
      <c r="BJ227" t="s">
        <v>205</v>
      </c>
      <c r="BK227" t="s">
        <v>206</v>
      </c>
      <c r="BL227" t="s">
        <v>194</v>
      </c>
      <c r="BO227" t="s">
        <v>200</v>
      </c>
      <c r="BP227" t="s">
        <v>200</v>
      </c>
      <c r="BQ227" s="2">
        <v>44805</v>
      </c>
      <c r="BR227" t="s">
        <v>232</v>
      </c>
      <c r="BT227" t="s">
        <v>197</v>
      </c>
      <c r="BV227" t="s">
        <v>852</v>
      </c>
      <c r="BW227" t="s">
        <v>248</v>
      </c>
      <c r="BX227" t="s">
        <v>716</v>
      </c>
      <c r="BY227" t="s">
        <v>561</v>
      </c>
      <c r="BZ227" t="s">
        <v>853</v>
      </c>
      <c r="CA227" t="s">
        <v>214</v>
      </c>
      <c r="CB227" t="s">
        <v>194</v>
      </c>
      <c r="CC227" t="s">
        <v>264</v>
      </c>
      <c r="CD227" t="s">
        <v>265</v>
      </c>
      <c r="CE227" t="s">
        <v>266</v>
      </c>
      <c r="CF227" t="s">
        <v>215</v>
      </c>
      <c r="CH227" t="s">
        <v>214</v>
      </c>
      <c r="CI227" t="s">
        <v>214</v>
      </c>
      <c r="CJ227" t="s">
        <v>214</v>
      </c>
      <c r="CP227" t="s">
        <v>214</v>
      </c>
      <c r="CS227" t="s">
        <v>216</v>
      </c>
      <c r="CV227" t="s">
        <v>214</v>
      </c>
      <c r="CW227" t="s">
        <v>214</v>
      </c>
      <c r="CX227" t="s">
        <v>217</v>
      </c>
      <c r="CY227" t="s">
        <v>214</v>
      </c>
      <c r="DA227" t="s">
        <v>218</v>
      </c>
    </row>
    <row r="228" spans="1:105" x14ac:dyDescent="0.3">
      <c r="A228">
        <v>13551944</v>
      </c>
      <c r="B228">
        <v>955438</v>
      </c>
      <c r="C228" t="str">
        <f>"130522603593"</f>
        <v>130522603593</v>
      </c>
      <c r="D228" t="s">
        <v>335</v>
      </c>
      <c r="E228" t="s">
        <v>730</v>
      </c>
      <c r="F228" t="s">
        <v>497</v>
      </c>
      <c r="G228" s="1">
        <v>41416</v>
      </c>
      <c r="I228" t="s">
        <v>222</v>
      </c>
      <c r="J228" t="s">
        <v>188</v>
      </c>
      <c r="K228" t="s">
        <v>338</v>
      </c>
      <c r="Y228" t="str">
        <f>"2019-08-05T00:00:00"</f>
        <v>2019-08-05T00:00:00</v>
      </c>
      <c r="Z228" t="str">
        <f>"№29"</f>
        <v>№29</v>
      </c>
      <c r="AA228" t="s">
        <v>190</v>
      </c>
      <c r="AC228" t="s">
        <v>225</v>
      </c>
      <c r="AD228" t="s">
        <v>615</v>
      </c>
      <c r="AE228" t="s">
        <v>227</v>
      </c>
      <c r="AF228" t="s">
        <v>194</v>
      </c>
      <c r="AH228" t="s">
        <v>195</v>
      </c>
      <c r="AI228">
        <v>1</v>
      </c>
      <c r="AJ228" t="s">
        <v>196</v>
      </c>
      <c r="AK228" t="s">
        <v>194</v>
      </c>
      <c r="AL228" t="s">
        <v>197</v>
      </c>
      <c r="AM228" t="s">
        <v>198</v>
      </c>
      <c r="AR228" t="s">
        <v>194</v>
      </c>
      <c r="AS228" t="s">
        <v>199</v>
      </c>
      <c r="AU228" t="s">
        <v>197</v>
      </c>
      <c r="AZ228" t="s">
        <v>194</v>
      </c>
      <c r="BA228" t="s">
        <v>200</v>
      </c>
      <c r="BB228" t="s">
        <v>201</v>
      </c>
      <c r="BD228" t="s">
        <v>200</v>
      </c>
      <c r="BE228" t="s">
        <v>244</v>
      </c>
      <c r="BF228" t="s">
        <v>197</v>
      </c>
      <c r="BG228" t="s">
        <v>238</v>
      </c>
      <c r="BH228">
        <v>5</v>
      </c>
      <c r="BJ228" t="s">
        <v>205</v>
      </c>
      <c r="BK228" t="s">
        <v>206</v>
      </c>
      <c r="BL228" t="s">
        <v>194</v>
      </c>
      <c r="BO228" t="s">
        <v>216</v>
      </c>
      <c r="BP228" t="s">
        <v>216</v>
      </c>
      <c r="BQ228" s="3">
        <v>45566</v>
      </c>
      <c r="BR228" t="s">
        <v>232</v>
      </c>
      <c r="BT228" t="s">
        <v>197</v>
      </c>
      <c r="BV228" t="s">
        <v>471</v>
      </c>
      <c r="BW228" t="s">
        <v>416</v>
      </c>
      <c r="BX228" t="s">
        <v>539</v>
      </c>
      <c r="BY228" t="s">
        <v>534</v>
      </c>
      <c r="BZ228" t="s">
        <v>845</v>
      </c>
      <c r="CA228" t="s">
        <v>194</v>
      </c>
      <c r="CB228" t="s">
        <v>214</v>
      </c>
      <c r="CF228" t="s">
        <v>215</v>
      </c>
      <c r="CH228" t="s">
        <v>214</v>
      </c>
      <c r="CI228" t="s">
        <v>214</v>
      </c>
      <c r="CJ228" t="s">
        <v>214</v>
      </c>
      <c r="CP228" t="s">
        <v>214</v>
      </c>
      <c r="CS228" t="s">
        <v>216</v>
      </c>
      <c r="CV228" t="s">
        <v>214</v>
      </c>
      <c r="CW228" t="s">
        <v>214</v>
      </c>
      <c r="CX228" t="s">
        <v>217</v>
      </c>
      <c r="CY228" t="s">
        <v>214</v>
      </c>
      <c r="DA228" t="s">
        <v>218</v>
      </c>
    </row>
    <row r="229" spans="1:105" x14ac:dyDescent="0.3">
      <c r="A229">
        <v>13552395</v>
      </c>
      <c r="B229">
        <v>9044223</v>
      </c>
      <c r="C229" t="str">
        <f>"130129502037"</f>
        <v>130129502037</v>
      </c>
      <c r="D229" t="s">
        <v>854</v>
      </c>
      <c r="E229" t="s">
        <v>855</v>
      </c>
      <c r="F229" t="s">
        <v>447</v>
      </c>
      <c r="G229" s="1">
        <v>41303</v>
      </c>
      <c r="I229" t="s">
        <v>187</v>
      </c>
      <c r="J229" t="s">
        <v>188</v>
      </c>
      <c r="K229" t="s">
        <v>461</v>
      </c>
      <c r="Y229" t="str">
        <f>"2019-08-05T00:00:00"</f>
        <v>2019-08-05T00:00:00</v>
      </c>
      <c r="Z229" t="str">
        <f>"№29"</f>
        <v>№29</v>
      </c>
      <c r="AA229" t="s">
        <v>190</v>
      </c>
      <c r="AC229" t="s">
        <v>225</v>
      </c>
      <c r="AD229" t="s">
        <v>615</v>
      </c>
      <c r="AE229" t="s">
        <v>227</v>
      </c>
      <c r="AF229" t="s">
        <v>194</v>
      </c>
      <c r="AH229" t="s">
        <v>195</v>
      </c>
      <c r="AI229">
        <v>1</v>
      </c>
      <c r="AJ229" t="s">
        <v>196</v>
      </c>
      <c r="AK229" t="s">
        <v>194</v>
      </c>
      <c r="AL229" t="s">
        <v>197</v>
      </c>
      <c r="AM229" t="s">
        <v>198</v>
      </c>
      <c r="AR229" t="s">
        <v>194</v>
      </c>
      <c r="AS229" t="s">
        <v>199</v>
      </c>
      <c r="AU229" t="s">
        <v>197</v>
      </c>
      <c r="AZ229" t="s">
        <v>194</v>
      </c>
      <c r="BA229" t="s">
        <v>200</v>
      </c>
      <c r="BB229" t="s">
        <v>201</v>
      </c>
      <c r="BC229" t="s">
        <v>200</v>
      </c>
      <c r="BE229" t="s">
        <v>202</v>
      </c>
      <c r="BF229" t="s">
        <v>197</v>
      </c>
      <c r="BG229" t="s">
        <v>230</v>
      </c>
      <c r="BH229" t="s">
        <v>420</v>
      </c>
      <c r="BJ229" t="s">
        <v>205</v>
      </c>
      <c r="BK229" t="s">
        <v>206</v>
      </c>
      <c r="BL229" t="s">
        <v>214</v>
      </c>
      <c r="BO229" t="s">
        <v>216</v>
      </c>
      <c r="BP229" t="s">
        <v>216</v>
      </c>
      <c r="BQ229" s="3">
        <v>45566</v>
      </c>
      <c r="BR229" t="s">
        <v>232</v>
      </c>
      <c r="BT229" t="s">
        <v>197</v>
      </c>
      <c r="BV229" t="s">
        <v>233</v>
      </c>
      <c r="CA229" t="s">
        <v>194</v>
      </c>
      <c r="CB229" t="s">
        <v>214</v>
      </c>
      <c r="CF229" t="s">
        <v>215</v>
      </c>
      <c r="CH229" t="s">
        <v>214</v>
      </c>
      <c r="CI229" t="s">
        <v>214</v>
      </c>
      <c r="CJ229" t="s">
        <v>214</v>
      </c>
      <c r="CP229" t="s">
        <v>214</v>
      </c>
      <c r="CS229" t="s">
        <v>216</v>
      </c>
      <c r="CV229" t="s">
        <v>214</v>
      </c>
      <c r="CW229" t="s">
        <v>214</v>
      </c>
      <c r="CX229" t="s">
        <v>217</v>
      </c>
      <c r="CY229" t="s">
        <v>214</v>
      </c>
      <c r="DA229" t="s">
        <v>218</v>
      </c>
    </row>
    <row r="230" spans="1:105" x14ac:dyDescent="0.3">
      <c r="A230">
        <v>13552972</v>
      </c>
      <c r="B230">
        <v>9044429</v>
      </c>
      <c r="C230" t="str">
        <f>"120818601970"</f>
        <v>120818601970</v>
      </c>
      <c r="D230" t="s">
        <v>856</v>
      </c>
      <c r="E230" t="s">
        <v>857</v>
      </c>
      <c r="F230" t="s">
        <v>497</v>
      </c>
      <c r="G230" s="1">
        <v>41139</v>
      </c>
      <c r="I230" t="s">
        <v>222</v>
      </c>
      <c r="J230" t="s">
        <v>188</v>
      </c>
      <c r="K230" t="s">
        <v>223</v>
      </c>
      <c r="Y230" t="str">
        <f>"2019-08-05T00:00:00"</f>
        <v>2019-08-05T00:00:00</v>
      </c>
      <c r="Z230" t="str">
        <f>"№29"</f>
        <v>№29</v>
      </c>
      <c r="AA230" t="s">
        <v>190</v>
      </c>
      <c r="AC230" t="s">
        <v>225</v>
      </c>
      <c r="AD230" t="s">
        <v>615</v>
      </c>
      <c r="AE230" t="s">
        <v>227</v>
      </c>
      <c r="AF230" t="s">
        <v>194</v>
      </c>
      <c r="AH230" t="s">
        <v>195</v>
      </c>
      <c r="AI230">
        <v>1</v>
      </c>
      <c r="AJ230" t="s">
        <v>196</v>
      </c>
      <c r="AK230" t="s">
        <v>194</v>
      </c>
      <c r="AL230" t="s">
        <v>197</v>
      </c>
      <c r="AM230" t="s">
        <v>198</v>
      </c>
      <c r="AR230" t="s">
        <v>194</v>
      </c>
      <c r="AS230" t="s">
        <v>199</v>
      </c>
      <c r="AU230" t="s">
        <v>197</v>
      </c>
      <c r="AZ230" t="s">
        <v>194</v>
      </c>
      <c r="BA230" t="s">
        <v>200</v>
      </c>
      <c r="BB230" t="s">
        <v>201</v>
      </c>
      <c r="BC230" t="s">
        <v>200</v>
      </c>
      <c r="BE230" t="s">
        <v>244</v>
      </c>
      <c r="BF230" t="s">
        <v>197</v>
      </c>
      <c r="BG230" t="s">
        <v>238</v>
      </c>
      <c r="BH230">
        <v>5</v>
      </c>
      <c r="BJ230" t="s">
        <v>205</v>
      </c>
      <c r="BK230" t="s">
        <v>206</v>
      </c>
      <c r="BL230" t="s">
        <v>214</v>
      </c>
      <c r="BO230" t="s">
        <v>216</v>
      </c>
      <c r="BP230" t="s">
        <v>216</v>
      </c>
      <c r="BQ230" s="3">
        <v>45566</v>
      </c>
      <c r="BR230" t="s">
        <v>232</v>
      </c>
      <c r="BT230" t="s">
        <v>197</v>
      </c>
      <c r="BV230" t="s">
        <v>233</v>
      </c>
      <c r="CA230" t="s">
        <v>194</v>
      </c>
      <c r="CB230" t="s">
        <v>214</v>
      </c>
      <c r="CF230" t="s">
        <v>215</v>
      </c>
      <c r="CH230" t="s">
        <v>214</v>
      </c>
      <c r="CI230" t="s">
        <v>214</v>
      </c>
      <c r="CJ230" t="s">
        <v>214</v>
      </c>
      <c r="CP230" t="s">
        <v>214</v>
      </c>
      <c r="CS230" t="s">
        <v>216</v>
      </c>
      <c r="CV230" t="s">
        <v>214</v>
      </c>
      <c r="CW230" t="s">
        <v>214</v>
      </c>
      <c r="CX230" t="s">
        <v>217</v>
      </c>
      <c r="CY230" t="s">
        <v>214</v>
      </c>
      <c r="DA230" t="s">
        <v>218</v>
      </c>
    </row>
    <row r="231" spans="1:105" x14ac:dyDescent="0.3">
      <c r="A231">
        <v>1229340</v>
      </c>
      <c r="B231">
        <v>933786</v>
      </c>
      <c r="C231" t="str">
        <f>"111122503879"</f>
        <v>111122503879</v>
      </c>
      <c r="D231" t="s">
        <v>858</v>
      </c>
      <c r="E231" t="s">
        <v>446</v>
      </c>
      <c r="F231" t="s">
        <v>553</v>
      </c>
      <c r="G231" s="1">
        <v>40869</v>
      </c>
      <c r="I231" t="s">
        <v>187</v>
      </c>
      <c r="J231" t="s">
        <v>188</v>
      </c>
      <c r="K231" t="s">
        <v>223</v>
      </c>
      <c r="Y231" t="str">
        <f>"2018-08-15T00:00:00"</f>
        <v>2018-08-15T00:00:00</v>
      </c>
      <c r="Z231" t="str">
        <f>"№20"</f>
        <v>№20</v>
      </c>
      <c r="AA231" t="s">
        <v>224</v>
      </c>
      <c r="AC231" t="s">
        <v>237</v>
      </c>
      <c r="AD231" t="s">
        <v>285</v>
      </c>
      <c r="AE231" t="s">
        <v>193</v>
      </c>
      <c r="AF231" t="s">
        <v>194</v>
      </c>
      <c r="AH231" t="s">
        <v>195</v>
      </c>
      <c r="AI231">
        <v>1</v>
      </c>
      <c r="AJ231" t="s">
        <v>196</v>
      </c>
      <c r="AK231" t="s">
        <v>194</v>
      </c>
      <c r="AL231" t="s">
        <v>197</v>
      </c>
      <c r="AM231" t="s">
        <v>198</v>
      </c>
      <c r="AQ231" t="str">
        <f>"2020-11-11T13:25:46"</f>
        <v>2020-11-11T13:25:46</v>
      </c>
      <c r="AR231" t="s">
        <v>194</v>
      </c>
      <c r="AS231" t="s">
        <v>199</v>
      </c>
      <c r="AU231" t="s">
        <v>197</v>
      </c>
      <c r="AZ231" t="s">
        <v>194</v>
      </c>
      <c r="BA231" t="s">
        <v>200</v>
      </c>
      <c r="BB231" t="s">
        <v>201</v>
      </c>
      <c r="BC231" t="s">
        <v>317</v>
      </c>
      <c r="BD231" t="s">
        <v>200</v>
      </c>
      <c r="BE231" t="s">
        <v>244</v>
      </c>
      <c r="BF231" t="s">
        <v>197</v>
      </c>
      <c r="BG231" t="s">
        <v>269</v>
      </c>
      <c r="BH231" t="s">
        <v>432</v>
      </c>
      <c r="BJ231" t="s">
        <v>205</v>
      </c>
      <c r="BK231" t="s">
        <v>206</v>
      </c>
      <c r="BL231" t="s">
        <v>194</v>
      </c>
      <c r="BO231" t="s">
        <v>200</v>
      </c>
      <c r="BP231" t="s">
        <v>200</v>
      </c>
      <c r="BQ231" t="s">
        <v>286</v>
      </c>
      <c r="BR231" t="s">
        <v>232</v>
      </c>
      <c r="BT231" t="s">
        <v>197</v>
      </c>
      <c r="BV231" t="s">
        <v>233</v>
      </c>
      <c r="CA231" t="s">
        <v>194</v>
      </c>
      <c r="CB231" t="s">
        <v>214</v>
      </c>
      <c r="CF231" t="s">
        <v>215</v>
      </c>
      <c r="CH231" t="s">
        <v>214</v>
      </c>
      <c r="CI231" t="s">
        <v>214</v>
      </c>
      <c r="CJ231" t="s">
        <v>214</v>
      </c>
      <c r="CP231" t="s">
        <v>214</v>
      </c>
      <c r="CS231" t="s">
        <v>216</v>
      </c>
      <c r="CV231" t="s">
        <v>214</v>
      </c>
      <c r="CW231" t="s">
        <v>214</v>
      </c>
      <c r="CX231" t="s">
        <v>217</v>
      </c>
      <c r="CY231" t="s">
        <v>214</v>
      </c>
      <c r="DA231" t="s">
        <v>218</v>
      </c>
    </row>
    <row r="232" spans="1:105" x14ac:dyDescent="0.3">
      <c r="A232">
        <v>1229360</v>
      </c>
      <c r="B232">
        <v>933797</v>
      </c>
      <c r="C232" t="str">
        <f>"110924502604"</f>
        <v>110924502604</v>
      </c>
      <c r="D232" t="s">
        <v>859</v>
      </c>
      <c r="E232" t="s">
        <v>363</v>
      </c>
      <c r="F232" t="s">
        <v>344</v>
      </c>
      <c r="G232" s="1">
        <v>40810</v>
      </c>
      <c r="I232" t="s">
        <v>187</v>
      </c>
      <c r="J232" t="s">
        <v>188</v>
      </c>
      <c r="K232" t="s">
        <v>223</v>
      </c>
      <c r="Y232" t="str">
        <f>"2018-08-06T00:00:00"</f>
        <v>2018-08-06T00:00:00</v>
      </c>
      <c r="Z232" t="str">
        <f>"№19"</f>
        <v>№19</v>
      </c>
      <c r="AA232" t="s">
        <v>224</v>
      </c>
      <c r="AC232" t="s">
        <v>191</v>
      </c>
      <c r="AD232" t="s">
        <v>285</v>
      </c>
      <c r="AE232" t="s">
        <v>227</v>
      </c>
      <c r="AF232" t="s">
        <v>194</v>
      </c>
      <c r="AH232" t="s">
        <v>195</v>
      </c>
      <c r="AI232">
        <v>2</v>
      </c>
      <c r="AJ232" t="s">
        <v>196</v>
      </c>
      <c r="AK232" t="s">
        <v>194</v>
      </c>
      <c r="AL232" t="s">
        <v>197</v>
      </c>
      <c r="AM232" t="s">
        <v>228</v>
      </c>
      <c r="AR232" t="s">
        <v>194</v>
      </c>
      <c r="AS232" t="s">
        <v>199</v>
      </c>
      <c r="AU232" t="s">
        <v>197</v>
      </c>
      <c r="AZ232" t="s">
        <v>194</v>
      </c>
      <c r="BA232" t="s">
        <v>200</v>
      </c>
      <c r="BB232" t="s">
        <v>201</v>
      </c>
      <c r="BD232" t="s">
        <v>200</v>
      </c>
      <c r="BE232" t="s">
        <v>229</v>
      </c>
      <c r="BF232" t="s">
        <v>197</v>
      </c>
      <c r="BG232" t="s">
        <v>238</v>
      </c>
      <c r="BH232">
        <v>4</v>
      </c>
      <c r="BJ232" t="s">
        <v>205</v>
      </c>
      <c r="BK232" t="s">
        <v>206</v>
      </c>
      <c r="BL232" t="s">
        <v>194</v>
      </c>
      <c r="BO232" t="s">
        <v>216</v>
      </c>
      <c r="BP232" t="s">
        <v>216</v>
      </c>
      <c r="BQ232" t="s">
        <v>286</v>
      </c>
      <c r="BR232" t="s">
        <v>232</v>
      </c>
      <c r="BT232" t="s">
        <v>197</v>
      </c>
      <c r="BV232" t="s">
        <v>233</v>
      </c>
      <c r="CA232" t="s">
        <v>194</v>
      </c>
      <c r="CB232" t="s">
        <v>194</v>
      </c>
      <c r="CC232" t="s">
        <v>264</v>
      </c>
      <c r="CD232" t="s">
        <v>265</v>
      </c>
      <c r="CE232" t="s">
        <v>266</v>
      </c>
      <c r="CF232" t="s">
        <v>215</v>
      </c>
      <c r="CH232" t="s">
        <v>214</v>
      </c>
      <c r="CI232" t="s">
        <v>214</v>
      </c>
      <c r="CJ232" t="s">
        <v>214</v>
      </c>
      <c r="CP232" t="s">
        <v>214</v>
      </c>
      <c r="CS232" t="s">
        <v>216</v>
      </c>
      <c r="CV232" t="s">
        <v>214</v>
      </c>
      <c r="CW232" t="s">
        <v>214</v>
      </c>
      <c r="CX232" t="s">
        <v>217</v>
      </c>
      <c r="CY232" t="s">
        <v>214</v>
      </c>
      <c r="DA232" t="s">
        <v>218</v>
      </c>
    </row>
    <row r="233" spans="1:105" x14ac:dyDescent="0.3">
      <c r="A233">
        <v>1229469</v>
      </c>
      <c r="B233">
        <v>618531</v>
      </c>
      <c r="C233" t="str">
        <f>"121130505048"</f>
        <v>121130505048</v>
      </c>
      <c r="D233" t="s">
        <v>860</v>
      </c>
      <c r="E233" t="s">
        <v>861</v>
      </c>
      <c r="F233" t="s">
        <v>316</v>
      </c>
      <c r="G233" s="1">
        <v>41243</v>
      </c>
      <c r="I233" t="s">
        <v>187</v>
      </c>
      <c r="J233" t="s">
        <v>188</v>
      </c>
      <c r="K233" t="s">
        <v>260</v>
      </c>
      <c r="Y233" t="str">
        <f>"2018-09-01T00:00:00"</f>
        <v>2018-09-01T00:00:00</v>
      </c>
      <c r="Z233" t="str">
        <f>"№26"</f>
        <v>№26</v>
      </c>
      <c r="AA233" t="s">
        <v>224</v>
      </c>
      <c r="AC233" t="s">
        <v>191</v>
      </c>
      <c r="AD233" t="s">
        <v>615</v>
      </c>
      <c r="AE233" t="s">
        <v>413</v>
      </c>
      <c r="AF233" t="s">
        <v>194</v>
      </c>
      <c r="AH233" t="s">
        <v>195</v>
      </c>
      <c r="AI233">
        <v>1</v>
      </c>
      <c r="AJ233" t="s">
        <v>196</v>
      </c>
      <c r="AK233" t="s">
        <v>194</v>
      </c>
      <c r="AL233" t="s">
        <v>197</v>
      </c>
      <c r="AM233" t="s">
        <v>228</v>
      </c>
      <c r="AR233" t="s">
        <v>194</v>
      </c>
      <c r="AS233" t="s">
        <v>199</v>
      </c>
      <c r="AU233" t="s">
        <v>197</v>
      </c>
      <c r="AZ233" t="s">
        <v>194</v>
      </c>
      <c r="BA233" t="s">
        <v>200</v>
      </c>
      <c r="BB233" t="s">
        <v>201</v>
      </c>
      <c r="BD233" t="s">
        <v>200</v>
      </c>
      <c r="BE233" t="s">
        <v>229</v>
      </c>
      <c r="BF233" t="s">
        <v>197</v>
      </c>
      <c r="BG233" t="s">
        <v>230</v>
      </c>
      <c r="BH233" t="s">
        <v>307</v>
      </c>
      <c r="BJ233" t="s">
        <v>205</v>
      </c>
      <c r="BK233" t="s">
        <v>206</v>
      </c>
      <c r="BL233" t="s">
        <v>194</v>
      </c>
      <c r="BO233" t="s">
        <v>216</v>
      </c>
      <c r="BP233" t="s">
        <v>216</v>
      </c>
      <c r="BQ233" s="2">
        <v>44805</v>
      </c>
      <c r="BR233" t="s">
        <v>232</v>
      </c>
      <c r="BT233" t="s">
        <v>197</v>
      </c>
      <c r="BV233" t="s">
        <v>233</v>
      </c>
      <c r="CA233" t="s">
        <v>214</v>
      </c>
      <c r="CB233" t="s">
        <v>194</v>
      </c>
      <c r="CC233" t="s">
        <v>264</v>
      </c>
      <c r="CD233" t="s">
        <v>265</v>
      </c>
      <c r="CE233" t="s">
        <v>266</v>
      </c>
      <c r="CF233" t="s">
        <v>215</v>
      </c>
      <c r="CH233" t="s">
        <v>214</v>
      </c>
      <c r="CI233" t="s">
        <v>214</v>
      </c>
      <c r="CJ233" t="s">
        <v>214</v>
      </c>
      <c r="CP233" t="s">
        <v>214</v>
      </c>
      <c r="CS233" t="s">
        <v>216</v>
      </c>
      <c r="CV233" t="s">
        <v>214</v>
      </c>
      <c r="CW233" t="s">
        <v>214</v>
      </c>
      <c r="CX233" t="s">
        <v>217</v>
      </c>
      <c r="CY233" t="s">
        <v>214</v>
      </c>
      <c r="DA233" t="s">
        <v>218</v>
      </c>
    </row>
    <row r="234" spans="1:105" x14ac:dyDescent="0.3">
      <c r="A234">
        <v>1229493</v>
      </c>
      <c r="B234">
        <v>933882</v>
      </c>
      <c r="C234" t="str">
        <f>"100219553957"</f>
        <v>100219553957</v>
      </c>
      <c r="D234" t="s">
        <v>418</v>
      </c>
      <c r="E234" t="s">
        <v>354</v>
      </c>
      <c r="F234" t="s">
        <v>344</v>
      </c>
      <c r="G234" s="1">
        <v>40228</v>
      </c>
      <c r="I234" t="s">
        <v>187</v>
      </c>
      <c r="J234" t="s">
        <v>188</v>
      </c>
      <c r="K234" t="s">
        <v>223</v>
      </c>
      <c r="Y234" t="str">
        <f>"2016-11-16T00:00:00"</f>
        <v>2016-11-16T00:00:00</v>
      </c>
      <c r="Z234" t="str">
        <f>"№70"</f>
        <v>№70</v>
      </c>
      <c r="AA234" t="s">
        <v>224</v>
      </c>
      <c r="AC234" t="s">
        <v>225</v>
      </c>
      <c r="AD234" t="s">
        <v>242</v>
      </c>
      <c r="AE234" t="s">
        <v>227</v>
      </c>
      <c r="AF234" t="s">
        <v>194</v>
      </c>
      <c r="AH234" t="s">
        <v>195</v>
      </c>
      <c r="AI234">
        <v>1</v>
      </c>
      <c r="AJ234" t="s">
        <v>196</v>
      </c>
      <c r="AK234" t="s">
        <v>194</v>
      </c>
      <c r="AL234" t="s">
        <v>197</v>
      </c>
      <c r="AM234" t="s">
        <v>228</v>
      </c>
      <c r="AR234" t="s">
        <v>194</v>
      </c>
      <c r="AS234" t="s">
        <v>199</v>
      </c>
      <c r="AU234" t="s">
        <v>197</v>
      </c>
      <c r="AZ234" t="s">
        <v>194</v>
      </c>
      <c r="BA234" t="s">
        <v>200</v>
      </c>
      <c r="BB234" t="s">
        <v>201</v>
      </c>
      <c r="BD234" t="s">
        <v>200</v>
      </c>
      <c r="BE234" t="s">
        <v>229</v>
      </c>
      <c r="BF234" t="s">
        <v>197</v>
      </c>
      <c r="BG234" t="s">
        <v>230</v>
      </c>
      <c r="BH234" t="s">
        <v>263</v>
      </c>
      <c r="BJ234" t="s">
        <v>205</v>
      </c>
      <c r="BK234" t="s">
        <v>206</v>
      </c>
      <c r="BL234" t="s">
        <v>194</v>
      </c>
      <c r="BO234" t="s">
        <v>216</v>
      </c>
      <c r="BP234" t="s">
        <v>216</v>
      </c>
      <c r="BR234" t="s">
        <v>232</v>
      </c>
      <c r="BT234" t="s">
        <v>197</v>
      </c>
      <c r="BV234" t="s">
        <v>233</v>
      </c>
      <c r="CA234" t="s">
        <v>194</v>
      </c>
      <c r="CB234" t="s">
        <v>214</v>
      </c>
      <c r="CF234" t="s">
        <v>215</v>
      </c>
      <c r="CH234" t="s">
        <v>214</v>
      </c>
      <c r="CI234" t="s">
        <v>214</v>
      </c>
      <c r="CJ234" t="s">
        <v>214</v>
      </c>
      <c r="CP234" t="s">
        <v>214</v>
      </c>
      <c r="CS234" t="s">
        <v>216</v>
      </c>
      <c r="CV234" t="s">
        <v>214</v>
      </c>
      <c r="CW234" t="s">
        <v>214</v>
      </c>
      <c r="CX234" t="s">
        <v>217</v>
      </c>
      <c r="CY234" t="s">
        <v>214</v>
      </c>
      <c r="DA234" t="s">
        <v>218</v>
      </c>
    </row>
    <row r="235" spans="1:105" x14ac:dyDescent="0.3">
      <c r="A235">
        <v>1229505</v>
      </c>
      <c r="B235">
        <v>933888</v>
      </c>
      <c r="C235" t="str">
        <f>"111216603466"</f>
        <v>111216603466</v>
      </c>
      <c r="D235" t="s">
        <v>862</v>
      </c>
      <c r="E235" t="s">
        <v>730</v>
      </c>
      <c r="F235" t="s">
        <v>399</v>
      </c>
      <c r="G235" s="1">
        <v>40893</v>
      </c>
      <c r="I235" t="s">
        <v>222</v>
      </c>
      <c r="J235" t="s">
        <v>188</v>
      </c>
      <c r="K235" t="s">
        <v>223</v>
      </c>
      <c r="Y235" t="str">
        <f>"2018-08-15T00:00:00"</f>
        <v>2018-08-15T00:00:00</v>
      </c>
      <c r="Z235" t="str">
        <f>"№20"</f>
        <v>№20</v>
      </c>
      <c r="AA235" t="s">
        <v>224</v>
      </c>
      <c r="AC235" t="s">
        <v>225</v>
      </c>
      <c r="AD235" t="s">
        <v>285</v>
      </c>
      <c r="AE235" t="s">
        <v>193</v>
      </c>
      <c r="AF235" t="s">
        <v>194</v>
      </c>
      <c r="AH235" t="s">
        <v>195</v>
      </c>
      <c r="AI235">
        <v>1</v>
      </c>
      <c r="AJ235" t="s">
        <v>196</v>
      </c>
      <c r="AK235" t="s">
        <v>194</v>
      </c>
      <c r="AL235" t="s">
        <v>197</v>
      </c>
      <c r="AM235" t="s">
        <v>198</v>
      </c>
      <c r="AR235" t="s">
        <v>194</v>
      </c>
      <c r="AS235" t="s">
        <v>199</v>
      </c>
      <c r="AU235" t="s">
        <v>197</v>
      </c>
      <c r="AZ235" t="s">
        <v>194</v>
      </c>
      <c r="BA235" t="s">
        <v>200</v>
      </c>
      <c r="BB235" t="s">
        <v>201</v>
      </c>
      <c r="BD235" t="s">
        <v>200</v>
      </c>
      <c r="BE235" t="s">
        <v>244</v>
      </c>
      <c r="BF235" t="s">
        <v>197</v>
      </c>
      <c r="BG235" t="s">
        <v>269</v>
      </c>
      <c r="BH235" t="s">
        <v>432</v>
      </c>
      <c r="BJ235" t="s">
        <v>205</v>
      </c>
      <c r="BK235" t="s">
        <v>206</v>
      </c>
      <c r="BL235" t="s">
        <v>194</v>
      </c>
      <c r="BO235" t="s">
        <v>216</v>
      </c>
      <c r="BP235" t="s">
        <v>216</v>
      </c>
      <c r="BQ235" t="s">
        <v>286</v>
      </c>
      <c r="BR235" t="s">
        <v>232</v>
      </c>
      <c r="BT235" t="s">
        <v>197</v>
      </c>
      <c r="BV235" t="s">
        <v>233</v>
      </c>
      <c r="CA235" t="s">
        <v>194</v>
      </c>
      <c r="CB235" t="s">
        <v>214</v>
      </c>
      <c r="CF235" t="s">
        <v>215</v>
      </c>
      <c r="CH235" t="s">
        <v>214</v>
      </c>
      <c r="CI235" t="s">
        <v>214</v>
      </c>
      <c r="CJ235" t="s">
        <v>214</v>
      </c>
      <c r="CP235" t="s">
        <v>214</v>
      </c>
      <c r="CS235" t="s">
        <v>216</v>
      </c>
      <c r="CV235" t="s">
        <v>214</v>
      </c>
      <c r="CW235" t="s">
        <v>214</v>
      </c>
      <c r="CX235" t="s">
        <v>217</v>
      </c>
      <c r="CY235" t="s">
        <v>214</v>
      </c>
      <c r="DA235" t="s">
        <v>218</v>
      </c>
    </row>
    <row r="236" spans="1:105" x14ac:dyDescent="0.3">
      <c r="A236">
        <v>1229519</v>
      </c>
      <c r="B236">
        <v>933897</v>
      </c>
      <c r="C236" t="str">
        <f>"110711604426"</f>
        <v>110711604426</v>
      </c>
      <c r="D236" t="s">
        <v>863</v>
      </c>
      <c r="E236" t="s">
        <v>864</v>
      </c>
      <c r="F236" t="s">
        <v>865</v>
      </c>
      <c r="G236" s="1">
        <v>40735</v>
      </c>
      <c r="I236" t="s">
        <v>222</v>
      </c>
      <c r="J236" t="s">
        <v>188</v>
      </c>
      <c r="K236" t="s">
        <v>189</v>
      </c>
      <c r="Y236" t="str">
        <f>"2017-08-07T00:00:00"</f>
        <v>2017-08-07T00:00:00</v>
      </c>
      <c r="Z236" t="str">
        <f>"№25"</f>
        <v>№25</v>
      </c>
      <c r="AA236" t="s">
        <v>224</v>
      </c>
      <c r="AC236" t="s">
        <v>191</v>
      </c>
      <c r="AD236" t="s">
        <v>261</v>
      </c>
      <c r="AE236" t="s">
        <v>193</v>
      </c>
      <c r="AF236" t="s">
        <v>194</v>
      </c>
      <c r="AH236" t="s">
        <v>195</v>
      </c>
      <c r="AI236">
        <v>2</v>
      </c>
      <c r="AJ236" t="s">
        <v>196</v>
      </c>
      <c r="AK236" t="s">
        <v>194</v>
      </c>
      <c r="AL236" t="s">
        <v>197</v>
      </c>
      <c r="AM236" t="s">
        <v>198</v>
      </c>
      <c r="AR236" t="s">
        <v>194</v>
      </c>
      <c r="AS236" t="s">
        <v>199</v>
      </c>
      <c r="AU236" t="s">
        <v>197</v>
      </c>
      <c r="AZ236" t="s">
        <v>194</v>
      </c>
      <c r="BA236" t="s">
        <v>200</v>
      </c>
      <c r="BB236" t="s">
        <v>201</v>
      </c>
      <c r="BD236" t="s">
        <v>200</v>
      </c>
      <c r="BE236" t="s">
        <v>229</v>
      </c>
      <c r="BF236" t="s">
        <v>197</v>
      </c>
      <c r="BG236" t="s">
        <v>262</v>
      </c>
      <c r="BH236" t="s">
        <v>263</v>
      </c>
      <c r="BJ236" t="s">
        <v>205</v>
      </c>
      <c r="BK236" t="s">
        <v>206</v>
      </c>
      <c r="BL236" t="s">
        <v>194</v>
      </c>
      <c r="BO236" t="s">
        <v>200</v>
      </c>
      <c r="BP236" t="s">
        <v>200</v>
      </c>
      <c r="BR236" t="s">
        <v>232</v>
      </c>
      <c r="BT236" t="s">
        <v>197</v>
      </c>
      <c r="BV236" t="s">
        <v>233</v>
      </c>
      <c r="CA236" t="s">
        <v>194</v>
      </c>
      <c r="CB236" t="s">
        <v>214</v>
      </c>
      <c r="CF236" t="s">
        <v>215</v>
      </c>
      <c r="CH236" t="s">
        <v>214</v>
      </c>
      <c r="CI236" t="s">
        <v>214</v>
      </c>
      <c r="CJ236" t="s">
        <v>214</v>
      </c>
      <c r="CP236" t="s">
        <v>214</v>
      </c>
      <c r="CS236" t="s">
        <v>216</v>
      </c>
      <c r="CV236" t="s">
        <v>214</v>
      </c>
      <c r="CW236" t="s">
        <v>214</v>
      </c>
      <c r="CX236" t="s">
        <v>217</v>
      </c>
      <c r="CY236" t="s">
        <v>214</v>
      </c>
      <c r="DA236" t="s">
        <v>218</v>
      </c>
    </row>
    <row r="237" spans="1:105" x14ac:dyDescent="0.3">
      <c r="A237">
        <v>13577578</v>
      </c>
      <c r="B237">
        <v>899027</v>
      </c>
      <c r="C237" t="str">
        <f>"131017605418"</f>
        <v>131017605418</v>
      </c>
      <c r="D237" t="s">
        <v>866</v>
      </c>
      <c r="E237" t="s">
        <v>867</v>
      </c>
      <c r="F237" t="s">
        <v>868</v>
      </c>
      <c r="G237" s="1">
        <v>41564</v>
      </c>
      <c r="I237" t="s">
        <v>222</v>
      </c>
      <c r="J237" t="s">
        <v>188</v>
      </c>
      <c r="K237" t="s">
        <v>498</v>
      </c>
      <c r="Y237" t="str">
        <f t="shared" ref="Y237:Y248" si="10">"2019-08-14T00:00:00"</f>
        <v>2019-08-14T00:00:00</v>
      </c>
      <c r="Z237" t="str">
        <f t="shared" ref="Z237:Z248" si="11">"30"</f>
        <v>30</v>
      </c>
      <c r="AA237" t="s">
        <v>190</v>
      </c>
      <c r="AC237" t="s">
        <v>225</v>
      </c>
      <c r="AD237" t="s">
        <v>615</v>
      </c>
      <c r="AE237" t="s">
        <v>193</v>
      </c>
      <c r="AF237" t="s">
        <v>194</v>
      </c>
      <c r="AH237" t="s">
        <v>195</v>
      </c>
      <c r="AI237">
        <v>1</v>
      </c>
      <c r="AJ237" t="s">
        <v>196</v>
      </c>
      <c r="AK237" t="s">
        <v>194</v>
      </c>
      <c r="AL237" t="s">
        <v>197</v>
      </c>
      <c r="AM237" t="s">
        <v>228</v>
      </c>
      <c r="AR237" t="s">
        <v>194</v>
      </c>
      <c r="AS237" t="s">
        <v>199</v>
      </c>
      <c r="AU237" t="s">
        <v>197</v>
      </c>
      <c r="AZ237" t="s">
        <v>194</v>
      </c>
      <c r="BB237" t="s">
        <v>201</v>
      </c>
      <c r="BD237" t="s">
        <v>200</v>
      </c>
      <c r="BE237" t="s">
        <v>244</v>
      </c>
      <c r="BF237" t="s">
        <v>197</v>
      </c>
      <c r="BG237" t="s">
        <v>238</v>
      </c>
      <c r="BH237">
        <v>5</v>
      </c>
      <c r="BJ237" t="s">
        <v>205</v>
      </c>
      <c r="BK237" t="s">
        <v>206</v>
      </c>
      <c r="BL237" t="s">
        <v>194</v>
      </c>
      <c r="BO237" t="s">
        <v>216</v>
      </c>
      <c r="BP237" t="s">
        <v>216</v>
      </c>
      <c r="BQ237" s="3">
        <v>45566</v>
      </c>
      <c r="BR237" t="s">
        <v>232</v>
      </c>
      <c r="BT237" t="s">
        <v>197</v>
      </c>
      <c r="BV237" t="s">
        <v>233</v>
      </c>
      <c r="CA237" t="s">
        <v>194</v>
      </c>
      <c r="CB237" t="s">
        <v>214</v>
      </c>
      <c r="CF237" t="s">
        <v>215</v>
      </c>
      <c r="CH237" t="s">
        <v>214</v>
      </c>
      <c r="CI237" t="s">
        <v>214</v>
      </c>
      <c r="CJ237" t="s">
        <v>214</v>
      </c>
      <c r="CP237" t="s">
        <v>214</v>
      </c>
      <c r="CS237" t="s">
        <v>216</v>
      </c>
      <c r="CV237" t="s">
        <v>214</v>
      </c>
      <c r="CW237" t="s">
        <v>214</v>
      </c>
      <c r="CX237" t="s">
        <v>217</v>
      </c>
      <c r="CY237" t="s">
        <v>214</v>
      </c>
      <c r="DA237" t="s">
        <v>218</v>
      </c>
    </row>
    <row r="238" spans="1:105" x14ac:dyDescent="0.3">
      <c r="A238">
        <v>13578075</v>
      </c>
      <c r="B238">
        <v>6512782</v>
      </c>
      <c r="C238" t="str">
        <f>"120629501977"</f>
        <v>120629501977</v>
      </c>
      <c r="D238" t="s">
        <v>869</v>
      </c>
      <c r="E238" t="s">
        <v>870</v>
      </c>
      <c r="F238" t="s">
        <v>702</v>
      </c>
      <c r="G238" s="1">
        <v>41089</v>
      </c>
      <c r="I238" t="s">
        <v>187</v>
      </c>
      <c r="J238" t="s">
        <v>188</v>
      </c>
      <c r="K238" t="s">
        <v>223</v>
      </c>
      <c r="Y238" t="str">
        <f t="shared" si="10"/>
        <v>2019-08-14T00:00:00</v>
      </c>
      <c r="Z238" t="str">
        <f t="shared" si="11"/>
        <v>30</v>
      </c>
      <c r="AA238" t="s">
        <v>190</v>
      </c>
      <c r="AC238" t="s">
        <v>225</v>
      </c>
      <c r="AD238" t="s">
        <v>615</v>
      </c>
      <c r="AE238" t="s">
        <v>193</v>
      </c>
      <c r="AF238" t="s">
        <v>194</v>
      </c>
      <c r="AH238" t="s">
        <v>195</v>
      </c>
      <c r="AI238">
        <v>1</v>
      </c>
      <c r="AJ238" t="s">
        <v>196</v>
      </c>
      <c r="AK238" t="s">
        <v>194</v>
      </c>
      <c r="AL238" t="s">
        <v>197</v>
      </c>
      <c r="AM238" t="s">
        <v>228</v>
      </c>
      <c r="AR238" t="s">
        <v>194</v>
      </c>
      <c r="AS238" t="s">
        <v>199</v>
      </c>
      <c r="AU238" t="s">
        <v>197</v>
      </c>
      <c r="AZ238" t="s">
        <v>194</v>
      </c>
      <c r="BA238" t="s">
        <v>200</v>
      </c>
      <c r="BB238" t="s">
        <v>201</v>
      </c>
      <c r="BD238" t="s">
        <v>200</v>
      </c>
      <c r="BE238" t="s">
        <v>244</v>
      </c>
      <c r="BF238" t="s">
        <v>197</v>
      </c>
      <c r="BG238" t="s">
        <v>238</v>
      </c>
      <c r="BH238">
        <v>5</v>
      </c>
      <c r="BJ238" t="s">
        <v>205</v>
      </c>
      <c r="BK238" t="s">
        <v>206</v>
      </c>
      <c r="BL238" t="s">
        <v>194</v>
      </c>
      <c r="BO238" t="s">
        <v>216</v>
      </c>
      <c r="BP238" t="s">
        <v>216</v>
      </c>
      <c r="BQ238" s="3">
        <v>45566</v>
      </c>
      <c r="BR238" t="s">
        <v>232</v>
      </c>
      <c r="BT238" t="s">
        <v>197</v>
      </c>
      <c r="BV238" t="s">
        <v>233</v>
      </c>
      <c r="CA238" t="s">
        <v>194</v>
      </c>
      <c r="CB238" t="s">
        <v>214</v>
      </c>
      <c r="CF238" t="s">
        <v>215</v>
      </c>
      <c r="CH238" t="s">
        <v>214</v>
      </c>
      <c r="CI238" t="s">
        <v>214</v>
      </c>
      <c r="CJ238" t="s">
        <v>214</v>
      </c>
      <c r="CP238" t="s">
        <v>214</v>
      </c>
      <c r="CS238" t="s">
        <v>216</v>
      </c>
      <c r="CV238" t="s">
        <v>214</v>
      </c>
      <c r="CW238" t="s">
        <v>214</v>
      </c>
      <c r="CX238" t="s">
        <v>217</v>
      </c>
      <c r="CY238" t="s">
        <v>214</v>
      </c>
      <c r="DA238" t="s">
        <v>218</v>
      </c>
    </row>
    <row r="239" spans="1:105" x14ac:dyDescent="0.3">
      <c r="A239">
        <v>13578453</v>
      </c>
      <c r="B239">
        <v>9053186</v>
      </c>
      <c r="C239" t="str">
        <f>"121125502412"</f>
        <v>121125502412</v>
      </c>
      <c r="D239" t="s">
        <v>871</v>
      </c>
      <c r="E239" t="s">
        <v>663</v>
      </c>
      <c r="F239" t="s">
        <v>872</v>
      </c>
      <c r="G239" s="1">
        <v>41238</v>
      </c>
      <c r="I239" t="s">
        <v>187</v>
      </c>
      <c r="J239" t="s">
        <v>188</v>
      </c>
      <c r="K239" t="s">
        <v>223</v>
      </c>
      <c r="Y239" t="str">
        <f t="shared" si="10"/>
        <v>2019-08-14T00:00:00</v>
      </c>
      <c r="Z239" t="str">
        <f t="shared" si="11"/>
        <v>30</v>
      </c>
      <c r="AA239" t="s">
        <v>190</v>
      </c>
      <c r="AC239" t="s">
        <v>225</v>
      </c>
      <c r="AD239" t="s">
        <v>615</v>
      </c>
      <c r="AE239" t="s">
        <v>193</v>
      </c>
      <c r="AF239" t="s">
        <v>194</v>
      </c>
      <c r="AH239" t="s">
        <v>195</v>
      </c>
      <c r="AI239">
        <v>1</v>
      </c>
      <c r="AJ239" t="s">
        <v>196</v>
      </c>
      <c r="AK239" t="s">
        <v>194</v>
      </c>
      <c r="AL239" t="s">
        <v>197</v>
      </c>
      <c r="AM239" t="s">
        <v>228</v>
      </c>
      <c r="AR239" t="s">
        <v>194</v>
      </c>
      <c r="AS239" t="s">
        <v>199</v>
      </c>
      <c r="AU239" t="s">
        <v>197</v>
      </c>
      <c r="AZ239" t="s">
        <v>194</v>
      </c>
      <c r="BA239" t="s">
        <v>200</v>
      </c>
      <c r="BB239" t="s">
        <v>201</v>
      </c>
      <c r="BD239" t="s">
        <v>200</v>
      </c>
      <c r="BE239" t="s">
        <v>244</v>
      </c>
      <c r="BF239" t="s">
        <v>197</v>
      </c>
      <c r="BG239" t="s">
        <v>238</v>
      </c>
      <c r="BH239">
        <v>5</v>
      </c>
      <c r="BJ239" t="s">
        <v>205</v>
      </c>
      <c r="BK239" t="s">
        <v>206</v>
      </c>
      <c r="BL239" t="s">
        <v>214</v>
      </c>
      <c r="BO239" t="s">
        <v>216</v>
      </c>
      <c r="BP239" t="s">
        <v>216</v>
      </c>
      <c r="BQ239" s="3">
        <v>45566</v>
      </c>
      <c r="BR239" t="s">
        <v>232</v>
      </c>
      <c r="BT239" t="s">
        <v>197</v>
      </c>
      <c r="BV239" t="s">
        <v>233</v>
      </c>
      <c r="CA239" t="s">
        <v>194</v>
      </c>
      <c r="CB239" t="s">
        <v>214</v>
      </c>
      <c r="CF239" t="s">
        <v>215</v>
      </c>
      <c r="CH239" t="s">
        <v>214</v>
      </c>
      <c r="CI239" t="s">
        <v>214</v>
      </c>
      <c r="CJ239" t="s">
        <v>214</v>
      </c>
      <c r="CP239" t="s">
        <v>214</v>
      </c>
      <c r="CS239" t="s">
        <v>216</v>
      </c>
      <c r="CV239" t="s">
        <v>214</v>
      </c>
      <c r="CW239" t="s">
        <v>214</v>
      </c>
      <c r="CX239" t="s">
        <v>217</v>
      </c>
      <c r="CY239" t="s">
        <v>214</v>
      </c>
      <c r="DA239" t="s">
        <v>218</v>
      </c>
    </row>
    <row r="240" spans="1:105" x14ac:dyDescent="0.3">
      <c r="A240">
        <v>13578906</v>
      </c>
      <c r="B240">
        <v>6357304</v>
      </c>
      <c r="C240" t="str">
        <f>"120322501125"</f>
        <v>120322501125</v>
      </c>
      <c r="D240" t="s">
        <v>873</v>
      </c>
      <c r="E240" t="s">
        <v>421</v>
      </c>
      <c r="F240" t="s">
        <v>504</v>
      </c>
      <c r="G240" s="1">
        <v>40990</v>
      </c>
      <c r="I240" t="s">
        <v>187</v>
      </c>
      <c r="J240" t="s">
        <v>188</v>
      </c>
      <c r="K240" t="s">
        <v>189</v>
      </c>
      <c r="Y240" t="str">
        <f t="shared" si="10"/>
        <v>2019-08-14T00:00:00</v>
      </c>
      <c r="Z240" t="str">
        <f t="shared" si="11"/>
        <v>30</v>
      </c>
      <c r="AA240" t="s">
        <v>190</v>
      </c>
      <c r="AC240" t="s">
        <v>225</v>
      </c>
      <c r="AD240" t="s">
        <v>615</v>
      </c>
      <c r="AE240" t="s">
        <v>193</v>
      </c>
      <c r="AF240" t="s">
        <v>194</v>
      </c>
      <c r="AH240" t="s">
        <v>195</v>
      </c>
      <c r="AI240">
        <v>1</v>
      </c>
      <c r="AJ240" t="s">
        <v>196</v>
      </c>
      <c r="AK240" t="s">
        <v>194</v>
      </c>
      <c r="AL240" t="s">
        <v>197</v>
      </c>
      <c r="AM240" t="s">
        <v>228</v>
      </c>
      <c r="AR240" t="s">
        <v>194</v>
      </c>
      <c r="AS240" t="s">
        <v>199</v>
      </c>
      <c r="AU240" t="s">
        <v>197</v>
      </c>
      <c r="AZ240" t="s">
        <v>194</v>
      </c>
      <c r="BA240" t="s">
        <v>200</v>
      </c>
      <c r="BB240" t="s">
        <v>201</v>
      </c>
      <c r="BD240" t="s">
        <v>200</v>
      </c>
      <c r="BE240" t="s">
        <v>244</v>
      </c>
      <c r="BF240" t="s">
        <v>197</v>
      </c>
      <c r="BG240" t="s">
        <v>238</v>
      </c>
      <c r="BH240">
        <v>5</v>
      </c>
      <c r="BJ240" t="s">
        <v>205</v>
      </c>
      <c r="BK240" t="s">
        <v>206</v>
      </c>
      <c r="BL240" t="s">
        <v>214</v>
      </c>
      <c r="BO240" t="s">
        <v>216</v>
      </c>
      <c r="BP240" t="s">
        <v>216</v>
      </c>
      <c r="BQ240" s="3">
        <v>45566</v>
      </c>
      <c r="BR240" t="s">
        <v>232</v>
      </c>
      <c r="BT240" t="s">
        <v>197</v>
      </c>
      <c r="BV240" t="s">
        <v>233</v>
      </c>
      <c r="CA240" t="s">
        <v>194</v>
      </c>
      <c r="CB240" t="s">
        <v>214</v>
      </c>
      <c r="CF240" t="s">
        <v>215</v>
      </c>
      <c r="CH240" t="s">
        <v>214</v>
      </c>
      <c r="CI240" t="s">
        <v>214</v>
      </c>
      <c r="CJ240" t="s">
        <v>214</v>
      </c>
      <c r="CP240" t="s">
        <v>214</v>
      </c>
      <c r="CS240" t="s">
        <v>216</v>
      </c>
      <c r="CV240" t="s">
        <v>214</v>
      </c>
      <c r="CW240" t="s">
        <v>214</v>
      </c>
      <c r="CX240" t="s">
        <v>217</v>
      </c>
      <c r="CY240" t="s">
        <v>214</v>
      </c>
      <c r="DA240" t="s">
        <v>218</v>
      </c>
    </row>
    <row r="241" spans="1:105" x14ac:dyDescent="0.3">
      <c r="A241">
        <v>13579362</v>
      </c>
      <c r="B241">
        <v>617322</v>
      </c>
      <c r="C241" t="str">
        <f>"130415600606"</f>
        <v>130415600606</v>
      </c>
      <c r="D241" t="s">
        <v>511</v>
      </c>
      <c r="E241" t="s">
        <v>484</v>
      </c>
      <c r="F241" t="s">
        <v>379</v>
      </c>
      <c r="G241" s="1">
        <v>41379</v>
      </c>
      <c r="I241" t="s">
        <v>222</v>
      </c>
      <c r="J241" t="s">
        <v>188</v>
      </c>
      <c r="K241" t="s">
        <v>223</v>
      </c>
      <c r="Y241" t="str">
        <f t="shared" si="10"/>
        <v>2019-08-14T00:00:00</v>
      </c>
      <c r="Z241" t="str">
        <f t="shared" si="11"/>
        <v>30</v>
      </c>
      <c r="AA241" t="s">
        <v>190</v>
      </c>
      <c r="AC241" t="s">
        <v>191</v>
      </c>
      <c r="AD241" t="s">
        <v>615</v>
      </c>
      <c r="AE241" t="s">
        <v>193</v>
      </c>
      <c r="AF241" t="s">
        <v>194</v>
      </c>
      <c r="AH241" t="s">
        <v>195</v>
      </c>
      <c r="AI241">
        <v>1</v>
      </c>
      <c r="AJ241" t="s">
        <v>196</v>
      </c>
      <c r="AK241" t="s">
        <v>194</v>
      </c>
      <c r="AL241" t="s">
        <v>197</v>
      </c>
      <c r="AM241" t="s">
        <v>228</v>
      </c>
      <c r="AR241" t="s">
        <v>194</v>
      </c>
      <c r="AS241" t="s">
        <v>199</v>
      </c>
      <c r="AU241" t="s">
        <v>197</v>
      </c>
      <c r="AZ241" t="s">
        <v>194</v>
      </c>
      <c r="BA241" t="s">
        <v>200</v>
      </c>
      <c r="BB241" t="s">
        <v>201</v>
      </c>
      <c r="BD241" t="s">
        <v>200</v>
      </c>
      <c r="BE241" t="s">
        <v>244</v>
      </c>
      <c r="BF241" t="s">
        <v>197</v>
      </c>
      <c r="BG241" t="s">
        <v>238</v>
      </c>
      <c r="BH241">
        <v>5</v>
      </c>
      <c r="BJ241" t="s">
        <v>205</v>
      </c>
      <c r="BK241" t="s">
        <v>206</v>
      </c>
      <c r="BL241" t="s">
        <v>194</v>
      </c>
      <c r="BO241" t="s">
        <v>216</v>
      </c>
      <c r="BP241" t="s">
        <v>216</v>
      </c>
      <c r="BQ241" s="3">
        <v>45566</v>
      </c>
      <c r="BR241" t="s">
        <v>232</v>
      </c>
      <c r="BT241" t="s">
        <v>197</v>
      </c>
      <c r="BV241" t="s">
        <v>233</v>
      </c>
      <c r="CA241" t="s">
        <v>194</v>
      </c>
      <c r="CB241" t="s">
        <v>214</v>
      </c>
      <c r="CF241" t="s">
        <v>215</v>
      </c>
      <c r="CH241" t="s">
        <v>214</v>
      </c>
      <c r="CI241" t="s">
        <v>214</v>
      </c>
      <c r="CJ241" t="s">
        <v>214</v>
      </c>
      <c r="CP241" t="s">
        <v>214</v>
      </c>
      <c r="CS241" t="s">
        <v>216</v>
      </c>
      <c r="CV241" t="s">
        <v>214</v>
      </c>
      <c r="CW241" t="s">
        <v>214</v>
      </c>
      <c r="CX241" t="s">
        <v>217</v>
      </c>
      <c r="CY241" t="s">
        <v>214</v>
      </c>
      <c r="DA241" t="s">
        <v>218</v>
      </c>
    </row>
    <row r="242" spans="1:105" x14ac:dyDescent="0.3">
      <c r="A242">
        <v>13580051</v>
      </c>
      <c r="B242">
        <v>622303</v>
      </c>
      <c r="C242" t="str">
        <f>"130906603799"</f>
        <v>130906603799</v>
      </c>
      <c r="D242" t="s">
        <v>513</v>
      </c>
      <c r="E242" t="s">
        <v>656</v>
      </c>
      <c r="F242" t="s">
        <v>601</v>
      </c>
      <c r="G242" s="1">
        <v>41523</v>
      </c>
      <c r="I242" t="s">
        <v>222</v>
      </c>
      <c r="J242" t="s">
        <v>188</v>
      </c>
      <c r="K242" t="s">
        <v>338</v>
      </c>
      <c r="Y242" t="str">
        <f t="shared" si="10"/>
        <v>2019-08-14T00:00:00</v>
      </c>
      <c r="Z242" t="str">
        <f t="shared" si="11"/>
        <v>30</v>
      </c>
      <c r="AA242" t="s">
        <v>190</v>
      </c>
      <c r="AC242" t="s">
        <v>191</v>
      </c>
      <c r="AD242" t="s">
        <v>615</v>
      </c>
      <c r="AE242" t="s">
        <v>193</v>
      </c>
      <c r="AF242" t="s">
        <v>194</v>
      </c>
      <c r="AH242" t="s">
        <v>195</v>
      </c>
      <c r="AI242">
        <v>1</v>
      </c>
      <c r="AJ242" t="s">
        <v>196</v>
      </c>
      <c r="AK242" t="s">
        <v>194</v>
      </c>
      <c r="AL242" t="s">
        <v>197</v>
      </c>
      <c r="AM242" t="s">
        <v>228</v>
      </c>
      <c r="AR242" t="s">
        <v>194</v>
      </c>
      <c r="AS242" t="s">
        <v>199</v>
      </c>
      <c r="AU242" t="s">
        <v>197</v>
      </c>
      <c r="AZ242" t="s">
        <v>194</v>
      </c>
      <c r="BA242" t="s">
        <v>200</v>
      </c>
      <c r="BB242" t="s">
        <v>201</v>
      </c>
      <c r="BC242" t="s">
        <v>200</v>
      </c>
      <c r="BE242" t="s">
        <v>244</v>
      </c>
      <c r="BF242" t="s">
        <v>197</v>
      </c>
      <c r="BG242" t="s">
        <v>238</v>
      </c>
      <c r="BH242">
        <v>5</v>
      </c>
      <c r="BJ242" t="s">
        <v>205</v>
      </c>
      <c r="BK242" t="s">
        <v>206</v>
      </c>
      <c r="BL242" t="s">
        <v>214</v>
      </c>
      <c r="BO242" t="s">
        <v>216</v>
      </c>
      <c r="BP242" t="s">
        <v>216</v>
      </c>
      <c r="BQ242" s="3">
        <v>45566</v>
      </c>
      <c r="BR242" t="s">
        <v>232</v>
      </c>
      <c r="BT242" t="s">
        <v>197</v>
      </c>
      <c r="BV242" t="s">
        <v>471</v>
      </c>
      <c r="BW242" t="s">
        <v>416</v>
      </c>
      <c r="BX242" t="s">
        <v>539</v>
      </c>
      <c r="BY242" t="s">
        <v>534</v>
      </c>
      <c r="BZ242" t="s">
        <v>845</v>
      </c>
      <c r="CA242" t="s">
        <v>194</v>
      </c>
      <c r="CB242" t="s">
        <v>214</v>
      </c>
      <c r="CF242" t="s">
        <v>215</v>
      </c>
      <c r="CH242" t="s">
        <v>214</v>
      </c>
      <c r="CI242" t="s">
        <v>214</v>
      </c>
      <c r="CJ242" t="s">
        <v>214</v>
      </c>
      <c r="CP242" t="s">
        <v>214</v>
      </c>
      <c r="CS242" t="s">
        <v>216</v>
      </c>
      <c r="CV242" t="s">
        <v>214</v>
      </c>
      <c r="CW242" t="s">
        <v>214</v>
      </c>
      <c r="CX242" t="s">
        <v>217</v>
      </c>
      <c r="CY242" t="s">
        <v>214</v>
      </c>
      <c r="DA242" t="s">
        <v>218</v>
      </c>
    </row>
    <row r="243" spans="1:105" x14ac:dyDescent="0.3">
      <c r="A243">
        <v>13580884</v>
      </c>
      <c r="B243">
        <v>9054001</v>
      </c>
      <c r="C243" t="str">
        <f>"130917605488"</f>
        <v>130917605488</v>
      </c>
      <c r="D243" t="s">
        <v>874</v>
      </c>
      <c r="E243" t="s">
        <v>875</v>
      </c>
      <c r="F243" t="s">
        <v>876</v>
      </c>
      <c r="G243" s="1">
        <v>41534</v>
      </c>
      <c r="I243" t="s">
        <v>222</v>
      </c>
      <c r="J243" t="s">
        <v>188</v>
      </c>
      <c r="K243" t="s">
        <v>189</v>
      </c>
      <c r="Y243" t="str">
        <f t="shared" si="10"/>
        <v>2019-08-14T00:00:00</v>
      </c>
      <c r="Z243" t="str">
        <f t="shared" si="11"/>
        <v>30</v>
      </c>
      <c r="AA243" t="s">
        <v>190</v>
      </c>
      <c r="AC243" t="s">
        <v>225</v>
      </c>
      <c r="AD243" t="s">
        <v>615</v>
      </c>
      <c r="AE243" t="s">
        <v>193</v>
      </c>
      <c r="AF243" t="s">
        <v>194</v>
      </c>
      <c r="AH243" t="s">
        <v>195</v>
      </c>
      <c r="AI243">
        <v>1</v>
      </c>
      <c r="AJ243" t="s">
        <v>196</v>
      </c>
      <c r="AK243" t="s">
        <v>194</v>
      </c>
      <c r="AL243" t="s">
        <v>197</v>
      </c>
      <c r="AM243" t="s">
        <v>228</v>
      </c>
      <c r="AR243" t="s">
        <v>194</v>
      </c>
      <c r="AS243" t="s">
        <v>199</v>
      </c>
      <c r="AU243" t="s">
        <v>197</v>
      </c>
      <c r="AZ243" t="s">
        <v>194</v>
      </c>
      <c r="BA243" t="s">
        <v>200</v>
      </c>
      <c r="BB243" t="s">
        <v>201</v>
      </c>
      <c r="BD243" t="s">
        <v>200</v>
      </c>
      <c r="BE243" t="s">
        <v>244</v>
      </c>
      <c r="BF243" t="s">
        <v>197</v>
      </c>
      <c r="BG243" t="s">
        <v>238</v>
      </c>
      <c r="BH243">
        <v>5</v>
      </c>
      <c r="BJ243" t="s">
        <v>205</v>
      </c>
      <c r="BK243" t="s">
        <v>206</v>
      </c>
      <c r="BL243" t="s">
        <v>194</v>
      </c>
      <c r="BO243" t="s">
        <v>216</v>
      </c>
      <c r="BP243" t="s">
        <v>216</v>
      </c>
      <c r="BQ243" s="3">
        <v>45566</v>
      </c>
      <c r="BR243" t="s">
        <v>232</v>
      </c>
      <c r="BT243" t="s">
        <v>197</v>
      </c>
      <c r="BV243" t="s">
        <v>233</v>
      </c>
      <c r="CA243" t="s">
        <v>194</v>
      </c>
      <c r="CB243" t="s">
        <v>214</v>
      </c>
      <c r="CF243" t="s">
        <v>215</v>
      </c>
      <c r="CH243" t="s">
        <v>214</v>
      </c>
      <c r="CI243" t="s">
        <v>214</v>
      </c>
      <c r="CJ243" t="s">
        <v>214</v>
      </c>
      <c r="CP243" t="s">
        <v>214</v>
      </c>
      <c r="CS243" t="s">
        <v>216</v>
      </c>
      <c r="CV243" t="s">
        <v>214</v>
      </c>
      <c r="CW243" t="s">
        <v>214</v>
      </c>
      <c r="CX243" t="s">
        <v>217</v>
      </c>
      <c r="CY243" t="s">
        <v>214</v>
      </c>
      <c r="DA243" t="s">
        <v>218</v>
      </c>
    </row>
    <row r="244" spans="1:105" x14ac:dyDescent="0.3">
      <c r="A244">
        <v>13581996</v>
      </c>
      <c r="B244">
        <v>6129574</v>
      </c>
      <c r="C244" t="str">
        <f>"120511502765"</f>
        <v>120511502765</v>
      </c>
      <c r="D244" t="s">
        <v>877</v>
      </c>
      <c r="E244" t="s">
        <v>573</v>
      </c>
      <c r="F244" t="s">
        <v>316</v>
      </c>
      <c r="G244" s="1">
        <v>41040</v>
      </c>
      <c r="I244" t="s">
        <v>187</v>
      </c>
      <c r="J244" t="s">
        <v>188</v>
      </c>
      <c r="K244" t="s">
        <v>223</v>
      </c>
      <c r="Y244" t="str">
        <f t="shared" si="10"/>
        <v>2019-08-14T00:00:00</v>
      </c>
      <c r="Z244" t="str">
        <f t="shared" si="11"/>
        <v>30</v>
      </c>
      <c r="AA244" t="s">
        <v>190</v>
      </c>
      <c r="AC244" t="s">
        <v>225</v>
      </c>
      <c r="AD244" t="s">
        <v>615</v>
      </c>
      <c r="AE244" t="s">
        <v>193</v>
      </c>
      <c r="AF244" t="s">
        <v>194</v>
      </c>
      <c r="AH244" t="s">
        <v>195</v>
      </c>
      <c r="AI244">
        <v>1</v>
      </c>
      <c r="AJ244" t="s">
        <v>196</v>
      </c>
      <c r="AK244" t="s">
        <v>194</v>
      </c>
      <c r="AL244" t="s">
        <v>197</v>
      </c>
      <c r="AM244" t="s">
        <v>228</v>
      </c>
      <c r="AR244" t="s">
        <v>194</v>
      </c>
      <c r="AS244" t="s">
        <v>199</v>
      </c>
      <c r="AU244" t="s">
        <v>197</v>
      </c>
      <c r="AZ244" t="s">
        <v>194</v>
      </c>
      <c r="BA244" t="s">
        <v>200</v>
      </c>
      <c r="BB244" t="s">
        <v>201</v>
      </c>
      <c r="BD244" t="s">
        <v>200</v>
      </c>
      <c r="BE244" t="s">
        <v>244</v>
      </c>
      <c r="BF244" t="s">
        <v>197</v>
      </c>
      <c r="BG244" t="s">
        <v>238</v>
      </c>
      <c r="BH244">
        <v>5</v>
      </c>
      <c r="BJ244" t="s">
        <v>205</v>
      </c>
      <c r="BK244" t="s">
        <v>206</v>
      </c>
      <c r="BL244" t="s">
        <v>194</v>
      </c>
      <c r="BO244" t="s">
        <v>216</v>
      </c>
      <c r="BP244" t="s">
        <v>216</v>
      </c>
      <c r="BQ244" s="3">
        <v>45566</v>
      </c>
      <c r="BR244" t="s">
        <v>232</v>
      </c>
      <c r="BT244" t="s">
        <v>197</v>
      </c>
      <c r="BV244" t="s">
        <v>233</v>
      </c>
      <c r="CA244" t="s">
        <v>194</v>
      </c>
      <c r="CB244" t="s">
        <v>214</v>
      </c>
      <c r="CF244" t="s">
        <v>215</v>
      </c>
      <c r="CH244" t="s">
        <v>214</v>
      </c>
      <c r="CI244" t="s">
        <v>214</v>
      </c>
      <c r="CJ244" t="s">
        <v>214</v>
      </c>
      <c r="CP244" t="s">
        <v>214</v>
      </c>
      <c r="CS244" t="s">
        <v>216</v>
      </c>
      <c r="CV244" t="s">
        <v>214</v>
      </c>
      <c r="CW244" t="s">
        <v>214</v>
      </c>
      <c r="CX244" t="s">
        <v>217</v>
      </c>
      <c r="CY244" t="s">
        <v>214</v>
      </c>
      <c r="DA244" t="s">
        <v>218</v>
      </c>
    </row>
    <row r="245" spans="1:105" x14ac:dyDescent="0.3">
      <c r="A245">
        <v>13582325</v>
      </c>
      <c r="B245">
        <v>6219869</v>
      </c>
      <c r="C245" t="str">
        <f>"121016602654"</f>
        <v>121016602654</v>
      </c>
      <c r="D245" t="s">
        <v>878</v>
      </c>
      <c r="E245" t="s">
        <v>879</v>
      </c>
      <c r="F245" t="s">
        <v>880</v>
      </c>
      <c r="G245" s="1">
        <v>41198</v>
      </c>
      <c r="I245" t="s">
        <v>222</v>
      </c>
      <c r="J245" t="s">
        <v>188</v>
      </c>
      <c r="K245" t="s">
        <v>189</v>
      </c>
      <c r="Y245" t="str">
        <f t="shared" si="10"/>
        <v>2019-08-14T00:00:00</v>
      </c>
      <c r="Z245" t="str">
        <f t="shared" si="11"/>
        <v>30</v>
      </c>
      <c r="AA245" t="s">
        <v>190</v>
      </c>
      <c r="AC245" t="s">
        <v>225</v>
      </c>
      <c r="AD245" t="s">
        <v>615</v>
      </c>
      <c r="AE245" t="s">
        <v>193</v>
      </c>
      <c r="AF245" t="s">
        <v>194</v>
      </c>
      <c r="AH245" t="s">
        <v>195</v>
      </c>
      <c r="AI245">
        <v>1</v>
      </c>
      <c r="AJ245" t="s">
        <v>196</v>
      </c>
      <c r="AK245" t="s">
        <v>194</v>
      </c>
      <c r="AL245" t="s">
        <v>197</v>
      </c>
      <c r="AM245" t="s">
        <v>228</v>
      </c>
      <c r="AR245" t="s">
        <v>194</v>
      </c>
      <c r="AS245" t="s">
        <v>199</v>
      </c>
      <c r="AU245" t="s">
        <v>197</v>
      </c>
      <c r="AZ245" t="s">
        <v>194</v>
      </c>
      <c r="BA245" t="s">
        <v>200</v>
      </c>
      <c r="BB245" t="s">
        <v>201</v>
      </c>
      <c r="BC245" t="s">
        <v>317</v>
      </c>
      <c r="BD245" t="s">
        <v>200</v>
      </c>
      <c r="BE245" t="s">
        <v>244</v>
      </c>
      <c r="BF245" t="s">
        <v>197</v>
      </c>
      <c r="BG245" t="s">
        <v>238</v>
      </c>
      <c r="BH245">
        <v>5</v>
      </c>
      <c r="BJ245" t="s">
        <v>205</v>
      </c>
      <c r="BK245" t="s">
        <v>206</v>
      </c>
      <c r="BL245" t="s">
        <v>194</v>
      </c>
      <c r="BO245" t="s">
        <v>200</v>
      </c>
      <c r="BP245" t="s">
        <v>200</v>
      </c>
      <c r="BQ245" s="3">
        <v>45566</v>
      </c>
      <c r="BR245" t="s">
        <v>232</v>
      </c>
      <c r="BT245" t="s">
        <v>197</v>
      </c>
      <c r="BV245" t="s">
        <v>233</v>
      </c>
      <c r="CA245" t="s">
        <v>194</v>
      </c>
      <c r="CB245" t="s">
        <v>214</v>
      </c>
      <c r="CF245" t="s">
        <v>215</v>
      </c>
      <c r="CH245" t="s">
        <v>214</v>
      </c>
      <c r="CI245" t="s">
        <v>214</v>
      </c>
      <c r="CJ245" t="s">
        <v>214</v>
      </c>
      <c r="CP245" t="s">
        <v>214</v>
      </c>
      <c r="CS245" t="s">
        <v>216</v>
      </c>
      <c r="CV245" t="s">
        <v>214</v>
      </c>
      <c r="CW245" t="s">
        <v>214</v>
      </c>
      <c r="CX245" t="s">
        <v>217</v>
      </c>
      <c r="CY245" t="s">
        <v>214</v>
      </c>
      <c r="DA245" t="s">
        <v>218</v>
      </c>
    </row>
    <row r="246" spans="1:105" x14ac:dyDescent="0.3">
      <c r="A246">
        <v>13582709</v>
      </c>
      <c r="B246">
        <v>9054542</v>
      </c>
      <c r="C246" t="str">
        <f>"120512604713"</f>
        <v>120512604713</v>
      </c>
      <c r="D246" t="s">
        <v>881</v>
      </c>
      <c r="E246" t="s">
        <v>882</v>
      </c>
      <c r="F246" t="s">
        <v>839</v>
      </c>
      <c r="G246" s="1">
        <v>41041</v>
      </c>
      <c r="I246" t="s">
        <v>222</v>
      </c>
      <c r="J246" t="s">
        <v>188</v>
      </c>
      <c r="K246" t="s">
        <v>223</v>
      </c>
      <c r="Y246" t="str">
        <f t="shared" si="10"/>
        <v>2019-08-14T00:00:00</v>
      </c>
      <c r="Z246" t="str">
        <f t="shared" si="11"/>
        <v>30</v>
      </c>
      <c r="AA246" t="s">
        <v>190</v>
      </c>
      <c r="AC246" t="s">
        <v>191</v>
      </c>
      <c r="AD246" t="s">
        <v>615</v>
      </c>
      <c r="AE246" t="s">
        <v>193</v>
      </c>
      <c r="AF246" t="s">
        <v>194</v>
      </c>
      <c r="AH246" t="s">
        <v>195</v>
      </c>
      <c r="AI246">
        <v>1</v>
      </c>
      <c r="AJ246" t="s">
        <v>196</v>
      </c>
      <c r="AK246" t="s">
        <v>194</v>
      </c>
      <c r="AL246" t="s">
        <v>197</v>
      </c>
      <c r="AM246" t="s">
        <v>228</v>
      </c>
      <c r="AR246" t="s">
        <v>194</v>
      </c>
      <c r="AS246" t="s">
        <v>199</v>
      </c>
      <c r="AU246" t="s">
        <v>197</v>
      </c>
      <c r="AZ246" t="s">
        <v>194</v>
      </c>
      <c r="BA246" t="s">
        <v>200</v>
      </c>
      <c r="BB246" t="s">
        <v>201</v>
      </c>
      <c r="BD246" t="s">
        <v>200</v>
      </c>
      <c r="BE246" t="s">
        <v>244</v>
      </c>
      <c r="BF246" t="s">
        <v>197</v>
      </c>
      <c r="BG246" t="s">
        <v>238</v>
      </c>
      <c r="BH246">
        <v>5</v>
      </c>
      <c r="BJ246" t="s">
        <v>205</v>
      </c>
      <c r="BK246" t="s">
        <v>206</v>
      </c>
      <c r="BL246" t="s">
        <v>194</v>
      </c>
      <c r="BO246" t="s">
        <v>216</v>
      </c>
      <c r="BP246" t="s">
        <v>216</v>
      </c>
      <c r="BQ246" s="3">
        <v>45566</v>
      </c>
      <c r="BR246" t="s">
        <v>232</v>
      </c>
      <c r="BT246" t="s">
        <v>197</v>
      </c>
      <c r="BV246" t="s">
        <v>233</v>
      </c>
      <c r="CA246" t="s">
        <v>194</v>
      </c>
      <c r="CB246" t="s">
        <v>214</v>
      </c>
      <c r="CF246" t="s">
        <v>215</v>
      </c>
      <c r="CH246" t="s">
        <v>214</v>
      </c>
      <c r="CI246" t="s">
        <v>214</v>
      </c>
      <c r="CJ246" t="s">
        <v>214</v>
      </c>
      <c r="CP246" t="s">
        <v>214</v>
      </c>
      <c r="CS246" t="s">
        <v>216</v>
      </c>
      <c r="CV246" t="s">
        <v>214</v>
      </c>
      <c r="CW246" t="s">
        <v>214</v>
      </c>
      <c r="CX246" t="s">
        <v>217</v>
      </c>
      <c r="CY246" t="s">
        <v>214</v>
      </c>
      <c r="DA246" t="s">
        <v>218</v>
      </c>
    </row>
    <row r="247" spans="1:105" x14ac:dyDescent="0.3">
      <c r="A247">
        <v>13583117</v>
      </c>
      <c r="B247">
        <v>9054687</v>
      </c>
      <c r="C247" t="str">
        <f>"121014603740"</f>
        <v>121014603740</v>
      </c>
      <c r="D247" t="s">
        <v>757</v>
      </c>
      <c r="E247" t="s">
        <v>883</v>
      </c>
      <c r="F247" t="s">
        <v>497</v>
      </c>
      <c r="G247" s="1">
        <v>41196</v>
      </c>
      <c r="I247" t="s">
        <v>222</v>
      </c>
      <c r="J247" t="s">
        <v>188</v>
      </c>
      <c r="K247" t="s">
        <v>223</v>
      </c>
      <c r="Y247" t="str">
        <f t="shared" si="10"/>
        <v>2019-08-14T00:00:00</v>
      </c>
      <c r="Z247" t="str">
        <f t="shared" si="11"/>
        <v>30</v>
      </c>
      <c r="AA247" t="s">
        <v>190</v>
      </c>
      <c r="AC247" t="s">
        <v>225</v>
      </c>
      <c r="AD247" t="s">
        <v>615</v>
      </c>
      <c r="AE247" t="s">
        <v>413</v>
      </c>
      <c r="AF247" t="s">
        <v>194</v>
      </c>
      <c r="AH247" t="s">
        <v>195</v>
      </c>
      <c r="AI247">
        <v>1</v>
      </c>
      <c r="AJ247" t="s">
        <v>196</v>
      </c>
      <c r="AK247" t="s">
        <v>194</v>
      </c>
      <c r="AL247" t="s">
        <v>197</v>
      </c>
      <c r="AM247" t="s">
        <v>811</v>
      </c>
      <c r="AQ247" t="str">
        <f>"2020-11-04T08:49:05"</f>
        <v>2020-11-04T08:49:05</v>
      </c>
      <c r="AR247" t="s">
        <v>214</v>
      </c>
      <c r="AU247" t="s">
        <v>197</v>
      </c>
      <c r="AZ247" t="s">
        <v>194</v>
      </c>
      <c r="BA247" t="s">
        <v>200</v>
      </c>
      <c r="BB247" t="s">
        <v>201</v>
      </c>
      <c r="BD247" t="s">
        <v>200</v>
      </c>
      <c r="BE247" t="s">
        <v>202</v>
      </c>
      <c r="BF247" t="s">
        <v>197</v>
      </c>
      <c r="BG247" t="s">
        <v>230</v>
      </c>
      <c r="BH247" t="s">
        <v>420</v>
      </c>
      <c r="BJ247" t="s">
        <v>205</v>
      </c>
      <c r="BK247" t="s">
        <v>206</v>
      </c>
      <c r="BL247" t="s">
        <v>194</v>
      </c>
      <c r="BO247" t="s">
        <v>200</v>
      </c>
      <c r="BP247" t="s">
        <v>200</v>
      </c>
      <c r="BQ247" s="3">
        <v>45566</v>
      </c>
      <c r="BR247" t="s">
        <v>232</v>
      </c>
      <c r="BT247" t="s">
        <v>197</v>
      </c>
      <c r="BV247" t="s">
        <v>233</v>
      </c>
      <c r="CA247" t="s">
        <v>194</v>
      </c>
      <c r="CB247" t="s">
        <v>214</v>
      </c>
      <c r="CF247" t="s">
        <v>215</v>
      </c>
      <c r="CH247" t="s">
        <v>214</v>
      </c>
      <c r="CI247" t="s">
        <v>214</v>
      </c>
      <c r="CJ247" t="s">
        <v>214</v>
      </c>
      <c r="CP247" t="s">
        <v>214</v>
      </c>
      <c r="CS247" t="s">
        <v>216</v>
      </c>
      <c r="CV247" t="s">
        <v>214</v>
      </c>
      <c r="CW247" t="s">
        <v>214</v>
      </c>
      <c r="CX247" t="s">
        <v>217</v>
      </c>
      <c r="CY247" t="s">
        <v>214</v>
      </c>
      <c r="DA247" t="s">
        <v>218</v>
      </c>
    </row>
    <row r="248" spans="1:105" x14ac:dyDescent="0.3">
      <c r="A248">
        <v>13583583</v>
      </c>
      <c r="B248">
        <v>956047</v>
      </c>
      <c r="C248" t="str">
        <f>"120418601976"</f>
        <v>120418601976</v>
      </c>
      <c r="D248" t="s">
        <v>884</v>
      </c>
      <c r="E248" t="s">
        <v>438</v>
      </c>
      <c r="F248" t="s">
        <v>358</v>
      </c>
      <c r="G248" s="1">
        <v>41017</v>
      </c>
      <c r="I248" t="s">
        <v>222</v>
      </c>
      <c r="J248" t="s">
        <v>188</v>
      </c>
      <c r="K248" t="s">
        <v>223</v>
      </c>
      <c r="Y248" t="str">
        <f t="shared" si="10"/>
        <v>2019-08-14T00:00:00</v>
      </c>
      <c r="Z248" t="str">
        <f t="shared" si="11"/>
        <v>30</v>
      </c>
      <c r="AA248" t="s">
        <v>190</v>
      </c>
      <c r="AC248" t="s">
        <v>225</v>
      </c>
      <c r="AD248" t="s">
        <v>615</v>
      </c>
      <c r="AE248" t="s">
        <v>193</v>
      </c>
      <c r="AF248" t="s">
        <v>194</v>
      </c>
      <c r="AH248" t="s">
        <v>195</v>
      </c>
      <c r="AI248">
        <v>1</v>
      </c>
      <c r="AJ248" t="s">
        <v>196</v>
      </c>
      <c r="AK248" t="s">
        <v>194</v>
      </c>
      <c r="AL248" t="s">
        <v>197</v>
      </c>
      <c r="AM248" t="s">
        <v>228</v>
      </c>
      <c r="AR248" t="s">
        <v>194</v>
      </c>
      <c r="AS248" t="s">
        <v>199</v>
      </c>
      <c r="AU248" t="s">
        <v>197</v>
      </c>
      <c r="AZ248" t="s">
        <v>194</v>
      </c>
      <c r="BA248" t="s">
        <v>200</v>
      </c>
      <c r="BB248" t="s">
        <v>201</v>
      </c>
      <c r="BD248" t="s">
        <v>200</v>
      </c>
      <c r="BE248" t="s">
        <v>244</v>
      </c>
      <c r="BF248" t="s">
        <v>197</v>
      </c>
      <c r="BG248" t="s">
        <v>238</v>
      </c>
      <c r="BH248">
        <v>5</v>
      </c>
      <c r="BJ248" t="s">
        <v>205</v>
      </c>
      <c r="BK248" t="s">
        <v>206</v>
      </c>
      <c r="BL248" t="s">
        <v>194</v>
      </c>
      <c r="BO248" t="s">
        <v>216</v>
      </c>
      <c r="BP248" t="s">
        <v>216</v>
      </c>
      <c r="BQ248" s="3">
        <v>45566</v>
      </c>
      <c r="BR248" t="s">
        <v>232</v>
      </c>
      <c r="BT248" t="s">
        <v>197</v>
      </c>
      <c r="BV248" t="s">
        <v>233</v>
      </c>
      <c r="CA248" t="s">
        <v>194</v>
      </c>
      <c r="CB248" t="s">
        <v>214</v>
      </c>
      <c r="CF248" t="s">
        <v>215</v>
      </c>
      <c r="CH248" t="s">
        <v>214</v>
      </c>
      <c r="CI248" t="s">
        <v>214</v>
      </c>
      <c r="CJ248" t="s">
        <v>214</v>
      </c>
      <c r="CP248" t="s">
        <v>214</v>
      </c>
      <c r="CS248" t="s">
        <v>216</v>
      </c>
      <c r="CV248" t="s">
        <v>214</v>
      </c>
      <c r="CW248" t="s">
        <v>214</v>
      </c>
      <c r="CX248" t="s">
        <v>217</v>
      </c>
      <c r="CY248" t="s">
        <v>214</v>
      </c>
      <c r="DA248" t="s">
        <v>218</v>
      </c>
    </row>
    <row r="249" spans="1:105" x14ac:dyDescent="0.3">
      <c r="A249">
        <v>13583918</v>
      </c>
      <c r="B249">
        <v>6135006</v>
      </c>
      <c r="C249" t="str">
        <f>"121031501087"</f>
        <v>121031501087</v>
      </c>
      <c r="D249" t="s">
        <v>885</v>
      </c>
      <c r="E249" t="s">
        <v>886</v>
      </c>
      <c r="F249" t="s">
        <v>887</v>
      </c>
      <c r="G249" s="1">
        <v>41213</v>
      </c>
      <c r="I249" t="s">
        <v>187</v>
      </c>
      <c r="J249" t="s">
        <v>188</v>
      </c>
      <c r="K249" t="s">
        <v>189</v>
      </c>
      <c r="Y249" t="str">
        <f>"2019-09-19T00:00:00"</f>
        <v>2019-09-19T00:00:00</v>
      </c>
      <c r="Z249" t="str">
        <f>"44"</f>
        <v>44</v>
      </c>
      <c r="AA249" t="s">
        <v>190</v>
      </c>
      <c r="AC249" t="s">
        <v>225</v>
      </c>
      <c r="AD249" t="s">
        <v>615</v>
      </c>
      <c r="AE249" t="s">
        <v>193</v>
      </c>
      <c r="AF249" t="s">
        <v>194</v>
      </c>
      <c r="AH249" t="s">
        <v>195</v>
      </c>
      <c r="AI249">
        <v>1</v>
      </c>
      <c r="AJ249" t="s">
        <v>196</v>
      </c>
      <c r="AK249" t="s">
        <v>194</v>
      </c>
      <c r="AL249" t="s">
        <v>197</v>
      </c>
      <c r="AM249" t="s">
        <v>228</v>
      </c>
      <c r="AR249" t="s">
        <v>194</v>
      </c>
      <c r="AS249" t="s">
        <v>199</v>
      </c>
      <c r="AU249" t="s">
        <v>197</v>
      </c>
      <c r="AZ249" t="s">
        <v>194</v>
      </c>
      <c r="BA249" t="s">
        <v>200</v>
      </c>
      <c r="BB249" t="s">
        <v>201</v>
      </c>
      <c r="BD249" t="s">
        <v>200</v>
      </c>
      <c r="BE249" t="s">
        <v>202</v>
      </c>
      <c r="BF249" t="s">
        <v>197</v>
      </c>
      <c r="BG249" t="s">
        <v>230</v>
      </c>
      <c r="BH249" t="s">
        <v>420</v>
      </c>
      <c r="BJ249" t="s">
        <v>205</v>
      </c>
      <c r="BK249" t="s">
        <v>206</v>
      </c>
      <c r="BL249" t="s">
        <v>194</v>
      </c>
      <c r="BO249" t="s">
        <v>200</v>
      </c>
      <c r="BP249" t="s">
        <v>200</v>
      </c>
      <c r="BQ249" s="3">
        <v>45566</v>
      </c>
      <c r="BR249" t="s">
        <v>232</v>
      </c>
      <c r="BT249" t="s">
        <v>197</v>
      </c>
      <c r="BV249" t="s">
        <v>233</v>
      </c>
      <c r="CA249" t="s">
        <v>194</v>
      </c>
      <c r="CB249" t="s">
        <v>214</v>
      </c>
      <c r="CF249" t="s">
        <v>215</v>
      </c>
      <c r="CH249" t="s">
        <v>214</v>
      </c>
      <c r="CI249" t="s">
        <v>214</v>
      </c>
      <c r="CJ249" t="s">
        <v>214</v>
      </c>
      <c r="CP249" t="s">
        <v>214</v>
      </c>
      <c r="CS249" t="s">
        <v>216</v>
      </c>
      <c r="CV249" t="s">
        <v>214</v>
      </c>
      <c r="CW249" t="s">
        <v>214</v>
      </c>
      <c r="CX249" t="s">
        <v>217</v>
      </c>
      <c r="CY249" t="s">
        <v>214</v>
      </c>
      <c r="DA249" t="s">
        <v>218</v>
      </c>
    </row>
    <row r="250" spans="1:105" x14ac:dyDescent="0.3">
      <c r="A250">
        <v>1229599</v>
      </c>
      <c r="B250">
        <v>933944</v>
      </c>
      <c r="C250" t="str">
        <f>"090819554734"</f>
        <v>090819554734</v>
      </c>
      <c r="D250" t="s">
        <v>757</v>
      </c>
      <c r="E250" t="s">
        <v>888</v>
      </c>
      <c r="F250" t="s">
        <v>479</v>
      </c>
      <c r="G250" s="1">
        <v>40044</v>
      </c>
      <c r="I250" t="s">
        <v>187</v>
      </c>
      <c r="J250" t="s">
        <v>188</v>
      </c>
      <c r="K250" t="s">
        <v>223</v>
      </c>
      <c r="Y250" t="str">
        <f>"2018-02-20T00:00:00"</f>
        <v>2018-02-20T00:00:00</v>
      </c>
      <c r="Z250" t="str">
        <f>"№ 09"</f>
        <v>№ 09</v>
      </c>
      <c r="AA250" t="s">
        <v>190</v>
      </c>
      <c r="AC250" t="s">
        <v>191</v>
      </c>
      <c r="AD250" t="s">
        <v>242</v>
      </c>
      <c r="AE250" t="s">
        <v>413</v>
      </c>
      <c r="AF250" t="s">
        <v>194</v>
      </c>
      <c r="AH250" t="s">
        <v>195</v>
      </c>
      <c r="AI250">
        <v>1</v>
      </c>
      <c r="AJ250" t="s">
        <v>196</v>
      </c>
      <c r="AK250" t="s">
        <v>194</v>
      </c>
      <c r="AL250" t="s">
        <v>197</v>
      </c>
      <c r="AM250" t="s">
        <v>198</v>
      </c>
      <c r="AQ250" t="str">
        <f>"2020-11-04T08:48:26"</f>
        <v>2020-11-04T08:48:26</v>
      </c>
      <c r="AR250" t="s">
        <v>194</v>
      </c>
      <c r="AS250" t="s">
        <v>199</v>
      </c>
      <c r="AU250" t="s">
        <v>197</v>
      </c>
      <c r="AZ250" t="s">
        <v>194</v>
      </c>
      <c r="BA250" t="s">
        <v>200</v>
      </c>
      <c r="BB250" t="s">
        <v>201</v>
      </c>
      <c r="BD250" t="s">
        <v>200</v>
      </c>
      <c r="BE250" t="s">
        <v>202</v>
      </c>
      <c r="BF250" t="s">
        <v>197</v>
      </c>
      <c r="BG250" t="s">
        <v>230</v>
      </c>
      <c r="BH250" t="s">
        <v>516</v>
      </c>
      <c r="BJ250" t="s">
        <v>205</v>
      </c>
      <c r="BK250" t="s">
        <v>206</v>
      </c>
      <c r="BL250" t="s">
        <v>194</v>
      </c>
      <c r="BO250" t="s">
        <v>200</v>
      </c>
      <c r="BP250" t="s">
        <v>200</v>
      </c>
      <c r="BR250" t="s">
        <v>232</v>
      </c>
      <c r="BT250" t="s">
        <v>197</v>
      </c>
      <c r="BV250" t="s">
        <v>233</v>
      </c>
      <c r="CA250" t="s">
        <v>194</v>
      </c>
      <c r="CB250" t="s">
        <v>214</v>
      </c>
      <c r="CF250" t="s">
        <v>215</v>
      </c>
      <c r="CH250" t="s">
        <v>214</v>
      </c>
      <c r="CI250" t="s">
        <v>214</v>
      </c>
      <c r="CJ250" t="s">
        <v>214</v>
      </c>
      <c r="CP250" t="s">
        <v>214</v>
      </c>
      <c r="CS250" t="s">
        <v>216</v>
      </c>
      <c r="CV250" t="s">
        <v>214</v>
      </c>
      <c r="CW250" t="s">
        <v>214</v>
      </c>
      <c r="CX250" t="s">
        <v>217</v>
      </c>
      <c r="CY250" t="s">
        <v>214</v>
      </c>
      <c r="DA250" t="s">
        <v>218</v>
      </c>
    </row>
    <row r="251" spans="1:105" x14ac:dyDescent="0.3">
      <c r="A251">
        <v>13747076</v>
      </c>
      <c r="B251">
        <v>9110630</v>
      </c>
      <c r="C251" t="str">
        <f>"141015500649"</f>
        <v>141015500649</v>
      </c>
      <c r="D251" t="s">
        <v>487</v>
      </c>
      <c r="E251" t="s">
        <v>770</v>
      </c>
      <c r="F251" t="s">
        <v>489</v>
      </c>
      <c r="G251" s="1">
        <v>41927</v>
      </c>
      <c r="I251" t="s">
        <v>187</v>
      </c>
      <c r="J251" t="s">
        <v>188</v>
      </c>
      <c r="K251" t="s">
        <v>189</v>
      </c>
      <c r="Y251" t="str">
        <f>"2019-09-02T00:00:00"</f>
        <v>2019-09-02T00:00:00</v>
      </c>
      <c r="Z251" t="str">
        <f>"37"</f>
        <v>37</v>
      </c>
      <c r="AA251" t="s">
        <v>190</v>
      </c>
      <c r="AC251" t="s">
        <v>225</v>
      </c>
      <c r="AD251" t="s">
        <v>815</v>
      </c>
      <c r="AE251" t="s">
        <v>193</v>
      </c>
      <c r="AF251" t="s">
        <v>194</v>
      </c>
      <c r="AH251" t="s">
        <v>195</v>
      </c>
      <c r="AI251">
        <v>3</v>
      </c>
      <c r="AJ251" t="s">
        <v>196</v>
      </c>
      <c r="AK251" t="s">
        <v>194</v>
      </c>
      <c r="AL251" t="s">
        <v>197</v>
      </c>
      <c r="AM251" t="s">
        <v>228</v>
      </c>
      <c r="AR251" t="s">
        <v>194</v>
      </c>
      <c r="AS251" t="s">
        <v>199</v>
      </c>
      <c r="AU251" t="s">
        <v>197</v>
      </c>
      <c r="AZ251" t="s">
        <v>194</v>
      </c>
      <c r="BA251" t="s">
        <v>200</v>
      </c>
      <c r="BB251" t="s">
        <v>201</v>
      </c>
      <c r="BD251" t="s">
        <v>200</v>
      </c>
      <c r="BE251" t="s">
        <v>229</v>
      </c>
      <c r="BF251" t="s">
        <v>197</v>
      </c>
      <c r="BG251" t="s">
        <v>230</v>
      </c>
      <c r="BH251" t="s">
        <v>307</v>
      </c>
      <c r="BJ251" t="s">
        <v>205</v>
      </c>
      <c r="BK251" t="s">
        <v>206</v>
      </c>
      <c r="BL251" t="s">
        <v>194</v>
      </c>
      <c r="BO251" t="s">
        <v>200</v>
      </c>
      <c r="BP251" t="s">
        <v>200</v>
      </c>
      <c r="BQ251" t="s">
        <v>280</v>
      </c>
      <c r="BR251" t="s">
        <v>232</v>
      </c>
      <c r="BT251" t="s">
        <v>197</v>
      </c>
      <c r="BV251" t="s">
        <v>233</v>
      </c>
      <c r="CA251" t="s">
        <v>194</v>
      </c>
      <c r="CB251" t="s">
        <v>214</v>
      </c>
      <c r="CF251" t="s">
        <v>215</v>
      </c>
      <c r="CH251" t="s">
        <v>214</v>
      </c>
      <c r="CI251" t="s">
        <v>214</v>
      </c>
      <c r="CJ251" t="s">
        <v>214</v>
      </c>
      <c r="CP251" t="s">
        <v>214</v>
      </c>
      <c r="CS251" t="s">
        <v>216</v>
      </c>
      <c r="CV251" t="s">
        <v>214</v>
      </c>
      <c r="CW251" t="s">
        <v>214</v>
      </c>
      <c r="CX251" t="s">
        <v>217</v>
      </c>
      <c r="CY251" t="s">
        <v>214</v>
      </c>
      <c r="DA251" t="s">
        <v>218</v>
      </c>
    </row>
    <row r="252" spans="1:105" x14ac:dyDescent="0.3">
      <c r="A252">
        <v>1229666</v>
      </c>
      <c r="B252">
        <v>933979</v>
      </c>
      <c r="C252" t="str">
        <f>"110224502713"</f>
        <v>110224502713</v>
      </c>
      <c r="D252" t="s">
        <v>551</v>
      </c>
      <c r="E252" t="s">
        <v>889</v>
      </c>
      <c r="F252" t="s">
        <v>553</v>
      </c>
      <c r="G252" s="1">
        <v>40598</v>
      </c>
      <c r="I252" t="s">
        <v>187</v>
      </c>
      <c r="J252" t="s">
        <v>188</v>
      </c>
      <c r="K252" t="s">
        <v>223</v>
      </c>
      <c r="Y252" t="str">
        <f>"2016-09-01T00:00:00"</f>
        <v>2016-09-01T00:00:00</v>
      </c>
      <c r="Z252" t="str">
        <f>"№45"</f>
        <v>№45</v>
      </c>
      <c r="AA252" t="s">
        <v>314</v>
      </c>
      <c r="AC252" t="s">
        <v>237</v>
      </c>
      <c r="AD252" t="s">
        <v>261</v>
      </c>
      <c r="AE252" t="s">
        <v>227</v>
      </c>
      <c r="AF252" t="s">
        <v>194</v>
      </c>
      <c r="AH252" t="s">
        <v>195</v>
      </c>
      <c r="AI252">
        <v>2</v>
      </c>
      <c r="AJ252" t="s">
        <v>196</v>
      </c>
      <c r="AK252" t="s">
        <v>194</v>
      </c>
      <c r="AL252" t="s">
        <v>197</v>
      </c>
      <c r="AM252" t="s">
        <v>228</v>
      </c>
      <c r="AR252" t="s">
        <v>194</v>
      </c>
      <c r="AS252" t="s">
        <v>199</v>
      </c>
      <c r="AU252" t="s">
        <v>197</v>
      </c>
      <c r="AZ252" t="s">
        <v>194</v>
      </c>
      <c r="BA252" t="s">
        <v>200</v>
      </c>
      <c r="BB252" t="s">
        <v>201</v>
      </c>
      <c r="BD252" t="s">
        <v>200</v>
      </c>
      <c r="BE252" t="s">
        <v>202</v>
      </c>
      <c r="BF252" t="s">
        <v>197</v>
      </c>
      <c r="BG252" t="s">
        <v>238</v>
      </c>
      <c r="BH252">
        <v>3</v>
      </c>
      <c r="BJ252" t="s">
        <v>205</v>
      </c>
      <c r="BK252" t="s">
        <v>206</v>
      </c>
      <c r="BL252" t="s">
        <v>214</v>
      </c>
      <c r="BO252" t="s">
        <v>216</v>
      </c>
      <c r="BP252" t="s">
        <v>216</v>
      </c>
      <c r="BQ252" t="s">
        <v>280</v>
      </c>
      <c r="BR252" t="s">
        <v>232</v>
      </c>
      <c r="BT252" t="s">
        <v>197</v>
      </c>
      <c r="BV252" t="s">
        <v>233</v>
      </c>
      <c r="CA252" t="s">
        <v>194</v>
      </c>
      <c r="CB252" t="s">
        <v>194</v>
      </c>
      <c r="CC252" t="s">
        <v>264</v>
      </c>
      <c r="CD252" t="s">
        <v>265</v>
      </c>
      <c r="CE252" t="s">
        <v>266</v>
      </c>
      <c r="CF252" t="s">
        <v>215</v>
      </c>
      <c r="CH252" t="s">
        <v>214</v>
      </c>
      <c r="CI252" t="s">
        <v>214</v>
      </c>
      <c r="CJ252" t="s">
        <v>214</v>
      </c>
      <c r="CP252" t="s">
        <v>214</v>
      </c>
      <c r="CS252" t="s">
        <v>216</v>
      </c>
      <c r="CV252" t="s">
        <v>214</v>
      </c>
      <c r="CW252" t="s">
        <v>214</v>
      </c>
      <c r="CX252" t="s">
        <v>217</v>
      </c>
      <c r="CY252" t="s">
        <v>214</v>
      </c>
      <c r="DA252" t="s">
        <v>218</v>
      </c>
    </row>
    <row r="253" spans="1:105" x14ac:dyDescent="0.3">
      <c r="A253">
        <v>13747521</v>
      </c>
      <c r="B253">
        <v>6344048</v>
      </c>
      <c r="C253" t="str">
        <f>"140801601258"</f>
        <v>140801601258</v>
      </c>
      <c r="D253" t="s">
        <v>890</v>
      </c>
      <c r="E253" t="s">
        <v>713</v>
      </c>
      <c r="F253" t="s">
        <v>891</v>
      </c>
      <c r="G253" s="1">
        <v>41852</v>
      </c>
      <c r="I253" t="s">
        <v>222</v>
      </c>
      <c r="J253" t="s">
        <v>188</v>
      </c>
      <c r="K253" t="s">
        <v>189</v>
      </c>
      <c r="Y253" t="str">
        <f>"2019-09-02T00:00:00"</f>
        <v>2019-09-02T00:00:00</v>
      </c>
      <c r="Z253" t="str">
        <f>"37"</f>
        <v>37</v>
      </c>
      <c r="AA253" t="s">
        <v>224</v>
      </c>
      <c r="AC253" t="s">
        <v>225</v>
      </c>
      <c r="AD253" t="s">
        <v>815</v>
      </c>
      <c r="AE253" t="s">
        <v>243</v>
      </c>
      <c r="AF253" t="s">
        <v>194</v>
      </c>
      <c r="AH253" t="s">
        <v>195</v>
      </c>
      <c r="AI253">
        <v>3</v>
      </c>
      <c r="AJ253" t="s">
        <v>196</v>
      </c>
      <c r="AK253" t="s">
        <v>194</v>
      </c>
      <c r="AL253" t="s">
        <v>197</v>
      </c>
      <c r="AM253" t="s">
        <v>228</v>
      </c>
      <c r="AR253" t="s">
        <v>194</v>
      </c>
      <c r="AS253" t="s">
        <v>199</v>
      </c>
      <c r="AU253" t="s">
        <v>197</v>
      </c>
      <c r="AZ253" t="s">
        <v>194</v>
      </c>
      <c r="BA253" t="s">
        <v>200</v>
      </c>
      <c r="BB253" t="s">
        <v>201</v>
      </c>
      <c r="BC253" t="s">
        <v>317</v>
      </c>
      <c r="BD253" t="s">
        <v>200</v>
      </c>
      <c r="BE253" t="s">
        <v>202</v>
      </c>
      <c r="BF253" t="s">
        <v>197</v>
      </c>
      <c r="BG253" t="s">
        <v>230</v>
      </c>
      <c r="BH253" t="s">
        <v>400</v>
      </c>
      <c r="BJ253" t="s">
        <v>205</v>
      </c>
      <c r="BK253" t="s">
        <v>206</v>
      </c>
      <c r="BL253" t="s">
        <v>194</v>
      </c>
      <c r="BO253" t="s">
        <v>200</v>
      </c>
      <c r="BP253" t="s">
        <v>200</v>
      </c>
      <c r="BQ253" t="s">
        <v>280</v>
      </c>
      <c r="BR253" t="s">
        <v>232</v>
      </c>
      <c r="BT253" t="s">
        <v>197</v>
      </c>
      <c r="BV253" t="s">
        <v>233</v>
      </c>
      <c r="CA253" t="s">
        <v>194</v>
      </c>
      <c r="CB253" t="s">
        <v>214</v>
      </c>
      <c r="CF253" t="s">
        <v>215</v>
      </c>
      <c r="CH253" t="s">
        <v>214</v>
      </c>
      <c r="CI253" t="s">
        <v>214</v>
      </c>
      <c r="CJ253" t="s">
        <v>214</v>
      </c>
      <c r="CP253" t="s">
        <v>214</v>
      </c>
      <c r="CS253" t="s">
        <v>216</v>
      </c>
      <c r="CV253" t="s">
        <v>214</v>
      </c>
      <c r="CW253" t="s">
        <v>214</v>
      </c>
      <c r="CX253" t="s">
        <v>217</v>
      </c>
      <c r="CY253" t="s">
        <v>214</v>
      </c>
      <c r="DA253" t="s">
        <v>218</v>
      </c>
    </row>
    <row r="254" spans="1:105" x14ac:dyDescent="0.3">
      <c r="A254">
        <v>13747950</v>
      </c>
      <c r="B254">
        <v>621947</v>
      </c>
      <c r="C254" t="str">
        <f>"140912606381"</f>
        <v>140912606381</v>
      </c>
      <c r="D254" t="s">
        <v>892</v>
      </c>
      <c r="E254" t="s">
        <v>875</v>
      </c>
      <c r="F254" t="s">
        <v>893</v>
      </c>
      <c r="G254" s="1">
        <v>41894</v>
      </c>
      <c r="I254" t="s">
        <v>222</v>
      </c>
      <c r="J254" t="s">
        <v>188</v>
      </c>
      <c r="K254" t="s">
        <v>189</v>
      </c>
      <c r="Y254" t="str">
        <f>"2019-09-02T00:00:00"</f>
        <v>2019-09-02T00:00:00</v>
      </c>
      <c r="Z254" t="str">
        <f>"37"</f>
        <v>37</v>
      </c>
      <c r="AA254" t="s">
        <v>224</v>
      </c>
      <c r="AC254" t="s">
        <v>225</v>
      </c>
      <c r="AD254" t="s">
        <v>815</v>
      </c>
      <c r="AE254" t="s">
        <v>243</v>
      </c>
      <c r="AF254" t="s">
        <v>194</v>
      </c>
      <c r="AH254" t="s">
        <v>195</v>
      </c>
      <c r="AI254">
        <v>3</v>
      </c>
      <c r="AJ254" t="s">
        <v>196</v>
      </c>
      <c r="AK254" t="s">
        <v>194</v>
      </c>
      <c r="AL254" t="s">
        <v>197</v>
      </c>
      <c r="AM254" t="s">
        <v>228</v>
      </c>
      <c r="AR254" t="s">
        <v>194</v>
      </c>
      <c r="AS254" t="s">
        <v>199</v>
      </c>
      <c r="AU254" t="s">
        <v>197</v>
      </c>
      <c r="AZ254" t="s">
        <v>194</v>
      </c>
      <c r="BA254" t="s">
        <v>200</v>
      </c>
      <c r="BB254" t="s">
        <v>201</v>
      </c>
      <c r="BD254" t="s">
        <v>200</v>
      </c>
      <c r="BE254" t="s">
        <v>202</v>
      </c>
      <c r="BF254" t="s">
        <v>197</v>
      </c>
      <c r="BG254" t="s">
        <v>230</v>
      </c>
      <c r="BH254" t="s">
        <v>894</v>
      </c>
      <c r="BJ254" t="s">
        <v>205</v>
      </c>
      <c r="BK254" t="s">
        <v>206</v>
      </c>
      <c r="BL254" t="s">
        <v>194</v>
      </c>
      <c r="BO254" t="s">
        <v>200</v>
      </c>
      <c r="BP254" t="s">
        <v>200</v>
      </c>
      <c r="BQ254" t="s">
        <v>280</v>
      </c>
      <c r="BR254" t="s">
        <v>232</v>
      </c>
      <c r="BT254" t="s">
        <v>197</v>
      </c>
      <c r="BV254" t="s">
        <v>233</v>
      </c>
      <c r="CA254" t="s">
        <v>194</v>
      </c>
      <c r="CB254" t="s">
        <v>214</v>
      </c>
      <c r="CF254" t="s">
        <v>215</v>
      </c>
      <c r="CH254" t="s">
        <v>214</v>
      </c>
      <c r="CI254" t="s">
        <v>214</v>
      </c>
      <c r="CJ254" t="s">
        <v>214</v>
      </c>
      <c r="CP254" t="s">
        <v>214</v>
      </c>
      <c r="CS254" t="s">
        <v>216</v>
      </c>
      <c r="CV254" t="s">
        <v>214</v>
      </c>
      <c r="CW254" t="s">
        <v>214</v>
      </c>
      <c r="CX254" t="s">
        <v>217</v>
      </c>
      <c r="CY254" t="s">
        <v>214</v>
      </c>
      <c r="DA254" t="s">
        <v>218</v>
      </c>
    </row>
    <row r="255" spans="1:105" x14ac:dyDescent="0.3">
      <c r="A255">
        <v>1229754</v>
      </c>
      <c r="B255">
        <v>934032</v>
      </c>
      <c r="C255" t="str">
        <f>"110616602681"</f>
        <v>110616602681</v>
      </c>
      <c r="D255" t="s">
        <v>895</v>
      </c>
      <c r="E255" t="s">
        <v>896</v>
      </c>
      <c r="F255" t="s">
        <v>733</v>
      </c>
      <c r="G255" s="1">
        <v>40710</v>
      </c>
      <c r="I255" t="s">
        <v>222</v>
      </c>
      <c r="J255" t="s">
        <v>188</v>
      </c>
      <c r="K255" t="s">
        <v>223</v>
      </c>
      <c r="Y255" t="str">
        <f>"2016-09-01T00:00:00"</f>
        <v>2016-09-01T00:00:00</v>
      </c>
      <c r="Z255" t="str">
        <f>"№45"</f>
        <v>№45</v>
      </c>
      <c r="AA255" t="s">
        <v>314</v>
      </c>
      <c r="AC255" t="s">
        <v>237</v>
      </c>
      <c r="AD255" t="s">
        <v>261</v>
      </c>
      <c r="AE255" t="s">
        <v>227</v>
      </c>
      <c r="AF255" t="s">
        <v>194</v>
      </c>
      <c r="AH255" t="s">
        <v>195</v>
      </c>
      <c r="AI255">
        <v>2</v>
      </c>
      <c r="AJ255" t="s">
        <v>196</v>
      </c>
      <c r="AK255" t="s">
        <v>194</v>
      </c>
      <c r="AL255" t="s">
        <v>197</v>
      </c>
      <c r="AM255" t="s">
        <v>198</v>
      </c>
      <c r="AQ255" t="str">
        <f>"2020-11-04T09:08:01"</f>
        <v>2020-11-04T09:08:01</v>
      </c>
      <c r="AR255" t="s">
        <v>194</v>
      </c>
      <c r="AS255" t="s">
        <v>199</v>
      </c>
      <c r="AU255" t="s">
        <v>197</v>
      </c>
      <c r="AZ255" t="s">
        <v>194</v>
      </c>
      <c r="BA255" t="s">
        <v>200</v>
      </c>
      <c r="BB255" t="s">
        <v>201</v>
      </c>
      <c r="BC255" t="s">
        <v>317</v>
      </c>
      <c r="BE255" t="s">
        <v>202</v>
      </c>
      <c r="BF255" t="s">
        <v>197</v>
      </c>
      <c r="BG255" t="s">
        <v>238</v>
      </c>
      <c r="BH255">
        <v>3</v>
      </c>
      <c r="BJ255" t="s">
        <v>205</v>
      </c>
      <c r="BK255" t="s">
        <v>206</v>
      </c>
      <c r="BL255" t="s">
        <v>194</v>
      </c>
      <c r="BO255" t="s">
        <v>200</v>
      </c>
      <c r="BP255" t="s">
        <v>200</v>
      </c>
      <c r="BR255" t="s">
        <v>232</v>
      </c>
      <c r="BT255" t="s">
        <v>197</v>
      </c>
      <c r="BV255" t="s">
        <v>233</v>
      </c>
      <c r="CA255" t="s">
        <v>194</v>
      </c>
      <c r="CB255" t="s">
        <v>194</v>
      </c>
      <c r="CC255" t="s">
        <v>264</v>
      </c>
      <c r="CD255" t="s">
        <v>265</v>
      </c>
      <c r="CE255" t="s">
        <v>266</v>
      </c>
      <c r="CF255" t="s">
        <v>215</v>
      </c>
      <c r="CH255" t="s">
        <v>214</v>
      </c>
      <c r="CI255" t="s">
        <v>194</v>
      </c>
      <c r="CP255" t="s">
        <v>214</v>
      </c>
      <c r="CS255" t="s">
        <v>216</v>
      </c>
      <c r="CV255" t="s">
        <v>214</v>
      </c>
      <c r="CW255" t="s">
        <v>214</v>
      </c>
      <c r="CX255" t="s">
        <v>217</v>
      </c>
      <c r="CY255" t="s">
        <v>214</v>
      </c>
      <c r="DA255" t="s">
        <v>218</v>
      </c>
    </row>
    <row r="256" spans="1:105" x14ac:dyDescent="0.3">
      <c r="A256">
        <v>13748301</v>
      </c>
      <c r="B256">
        <v>9111016</v>
      </c>
      <c r="C256" t="str">
        <f>"140715604354"</f>
        <v>140715604354</v>
      </c>
      <c r="D256" t="s">
        <v>897</v>
      </c>
      <c r="E256" t="s">
        <v>220</v>
      </c>
      <c r="F256" t="s">
        <v>336</v>
      </c>
      <c r="G256" s="1">
        <v>41835</v>
      </c>
      <c r="I256" t="s">
        <v>222</v>
      </c>
      <c r="J256" t="s">
        <v>188</v>
      </c>
      <c r="K256" t="s">
        <v>223</v>
      </c>
      <c r="Y256" t="str">
        <f>"2019-09-02T00:00:00"</f>
        <v>2019-09-02T00:00:00</v>
      </c>
      <c r="Z256" t="str">
        <f>"37"</f>
        <v>37</v>
      </c>
      <c r="AA256" t="s">
        <v>190</v>
      </c>
      <c r="AC256" t="s">
        <v>191</v>
      </c>
      <c r="AD256" t="s">
        <v>815</v>
      </c>
      <c r="AE256" t="s">
        <v>243</v>
      </c>
      <c r="AF256" t="s">
        <v>194</v>
      </c>
      <c r="AH256" t="s">
        <v>195</v>
      </c>
      <c r="AI256">
        <v>3</v>
      </c>
      <c r="AJ256" t="s">
        <v>196</v>
      </c>
      <c r="AK256" t="s">
        <v>194</v>
      </c>
      <c r="AL256" t="s">
        <v>197</v>
      </c>
      <c r="AM256" t="s">
        <v>228</v>
      </c>
      <c r="AR256" t="s">
        <v>194</v>
      </c>
      <c r="AS256" t="s">
        <v>199</v>
      </c>
      <c r="AU256" t="s">
        <v>197</v>
      </c>
      <c r="AZ256" t="s">
        <v>194</v>
      </c>
      <c r="BA256" t="s">
        <v>200</v>
      </c>
      <c r="BB256" t="s">
        <v>201</v>
      </c>
      <c r="BD256" t="s">
        <v>200</v>
      </c>
      <c r="BE256" t="s">
        <v>229</v>
      </c>
      <c r="BF256" t="s">
        <v>197</v>
      </c>
      <c r="BG256" t="s">
        <v>230</v>
      </c>
      <c r="BH256" t="s">
        <v>263</v>
      </c>
      <c r="BJ256" t="s">
        <v>205</v>
      </c>
      <c r="BK256" t="s">
        <v>206</v>
      </c>
      <c r="BL256" t="s">
        <v>194</v>
      </c>
      <c r="BO256" t="s">
        <v>200</v>
      </c>
      <c r="BP256" t="s">
        <v>200</v>
      </c>
      <c r="BQ256" t="s">
        <v>280</v>
      </c>
      <c r="BR256" t="s">
        <v>232</v>
      </c>
      <c r="BT256" t="s">
        <v>197</v>
      </c>
      <c r="BV256" t="s">
        <v>233</v>
      </c>
      <c r="CA256" t="s">
        <v>194</v>
      </c>
      <c r="CB256" t="s">
        <v>214</v>
      </c>
      <c r="CF256" t="s">
        <v>215</v>
      </c>
      <c r="CH256" t="s">
        <v>214</v>
      </c>
      <c r="CI256" t="s">
        <v>214</v>
      </c>
      <c r="CJ256" t="s">
        <v>214</v>
      </c>
      <c r="CP256" t="s">
        <v>214</v>
      </c>
      <c r="CS256" t="s">
        <v>216</v>
      </c>
      <c r="CV256" t="s">
        <v>214</v>
      </c>
      <c r="CW256" t="s">
        <v>214</v>
      </c>
      <c r="CX256" t="s">
        <v>217</v>
      </c>
      <c r="CY256" t="s">
        <v>214</v>
      </c>
      <c r="DA256" t="s">
        <v>218</v>
      </c>
    </row>
    <row r="257" spans="1:172" x14ac:dyDescent="0.3">
      <c r="A257">
        <v>13749360</v>
      </c>
      <c r="B257">
        <v>9111376</v>
      </c>
      <c r="C257" t="str">
        <f>"140531603217"</f>
        <v>140531603217</v>
      </c>
      <c r="D257" t="s">
        <v>898</v>
      </c>
      <c r="E257" t="s">
        <v>258</v>
      </c>
      <c r="F257" t="s">
        <v>358</v>
      </c>
      <c r="G257" s="1">
        <v>41790</v>
      </c>
      <c r="I257" t="s">
        <v>222</v>
      </c>
      <c r="J257" t="s">
        <v>188</v>
      </c>
      <c r="K257" t="s">
        <v>223</v>
      </c>
      <c r="Y257" t="str">
        <f>"2019-09-02T00:00:00"</f>
        <v>2019-09-02T00:00:00</v>
      </c>
      <c r="Z257" t="str">
        <f>"37"</f>
        <v>37</v>
      </c>
      <c r="AA257" t="s">
        <v>190</v>
      </c>
      <c r="AC257" t="s">
        <v>191</v>
      </c>
      <c r="AD257" t="s">
        <v>899</v>
      </c>
      <c r="AE257" t="s">
        <v>227</v>
      </c>
      <c r="AF257" t="s">
        <v>194</v>
      </c>
      <c r="AH257" t="s">
        <v>195</v>
      </c>
      <c r="AI257">
        <v>3</v>
      </c>
      <c r="AJ257" t="s">
        <v>196</v>
      </c>
      <c r="AK257" t="s">
        <v>194</v>
      </c>
      <c r="AL257" t="s">
        <v>197</v>
      </c>
      <c r="AM257" t="s">
        <v>228</v>
      </c>
      <c r="AR257" t="s">
        <v>194</v>
      </c>
      <c r="AS257" t="s">
        <v>199</v>
      </c>
      <c r="AU257" t="s">
        <v>197</v>
      </c>
      <c r="AZ257" t="s">
        <v>194</v>
      </c>
      <c r="BA257" t="s">
        <v>200</v>
      </c>
      <c r="BB257" t="s">
        <v>201</v>
      </c>
      <c r="BD257" t="s">
        <v>200</v>
      </c>
      <c r="BE257" t="s">
        <v>900</v>
      </c>
      <c r="BF257" t="s">
        <v>197</v>
      </c>
      <c r="BJ257" t="s">
        <v>205</v>
      </c>
      <c r="BK257" t="s">
        <v>206</v>
      </c>
      <c r="BL257" t="s">
        <v>194</v>
      </c>
      <c r="BO257" t="s">
        <v>200</v>
      </c>
      <c r="BP257" t="s">
        <v>200</v>
      </c>
      <c r="BQ257" t="s">
        <v>280</v>
      </c>
      <c r="BR257" t="s">
        <v>232</v>
      </c>
      <c r="BT257" t="s">
        <v>197</v>
      </c>
      <c r="BV257" t="s">
        <v>233</v>
      </c>
      <c r="CA257" t="s">
        <v>194</v>
      </c>
      <c r="CB257" t="s">
        <v>214</v>
      </c>
      <c r="CF257" t="s">
        <v>215</v>
      </c>
      <c r="CH257" t="s">
        <v>214</v>
      </c>
      <c r="CI257" t="s">
        <v>214</v>
      </c>
      <c r="CJ257" t="s">
        <v>214</v>
      </c>
      <c r="CP257" t="s">
        <v>214</v>
      </c>
      <c r="CS257" t="s">
        <v>216</v>
      </c>
      <c r="CV257" t="s">
        <v>214</v>
      </c>
      <c r="CW257" t="s">
        <v>214</v>
      </c>
      <c r="CX257" t="s">
        <v>217</v>
      </c>
      <c r="CY257" t="s">
        <v>214</v>
      </c>
      <c r="DA257" t="s">
        <v>218</v>
      </c>
      <c r="FP257" t="s">
        <v>194</v>
      </c>
    </row>
    <row r="258" spans="1:172" x14ac:dyDescent="0.3">
      <c r="A258">
        <v>13749545</v>
      </c>
      <c r="B258">
        <v>624637</v>
      </c>
      <c r="C258" t="str">
        <f>"130726504722"</f>
        <v>130726504722</v>
      </c>
      <c r="D258" t="s">
        <v>901</v>
      </c>
      <c r="E258" t="s">
        <v>902</v>
      </c>
      <c r="F258" t="s">
        <v>903</v>
      </c>
      <c r="G258" s="1">
        <v>41481</v>
      </c>
      <c r="I258" t="s">
        <v>187</v>
      </c>
      <c r="J258" t="s">
        <v>188</v>
      </c>
      <c r="K258" t="s">
        <v>189</v>
      </c>
      <c r="Y258" t="str">
        <f>"2019-09-02T00:00:00"</f>
        <v>2019-09-02T00:00:00</v>
      </c>
      <c r="Z258" t="str">
        <f>"37"</f>
        <v>37</v>
      </c>
      <c r="AA258" t="s">
        <v>190</v>
      </c>
      <c r="AC258" t="s">
        <v>225</v>
      </c>
      <c r="AD258" t="s">
        <v>815</v>
      </c>
      <c r="AE258" t="s">
        <v>227</v>
      </c>
      <c r="AF258" t="s">
        <v>194</v>
      </c>
      <c r="AH258" t="s">
        <v>195</v>
      </c>
      <c r="AI258">
        <v>3</v>
      </c>
      <c r="AJ258" t="s">
        <v>196</v>
      </c>
      <c r="AK258" t="s">
        <v>194</v>
      </c>
      <c r="AL258" t="s">
        <v>197</v>
      </c>
      <c r="AM258" t="s">
        <v>228</v>
      </c>
      <c r="AR258" t="s">
        <v>194</v>
      </c>
      <c r="AS258" t="s">
        <v>199</v>
      </c>
      <c r="AU258" t="s">
        <v>197</v>
      </c>
      <c r="AZ258" t="s">
        <v>194</v>
      </c>
      <c r="BA258" t="s">
        <v>200</v>
      </c>
      <c r="BB258" t="s">
        <v>201</v>
      </c>
      <c r="BD258" t="s">
        <v>200</v>
      </c>
      <c r="BE258" t="s">
        <v>202</v>
      </c>
      <c r="BF258" t="s">
        <v>197</v>
      </c>
      <c r="BG258" t="s">
        <v>230</v>
      </c>
      <c r="BH258" t="s">
        <v>420</v>
      </c>
      <c r="BJ258" t="s">
        <v>205</v>
      </c>
      <c r="BK258" t="s">
        <v>206</v>
      </c>
      <c r="BL258" t="s">
        <v>194</v>
      </c>
      <c r="BO258" t="s">
        <v>200</v>
      </c>
      <c r="BP258" t="s">
        <v>200</v>
      </c>
      <c r="BQ258" t="s">
        <v>280</v>
      </c>
      <c r="BR258" t="s">
        <v>232</v>
      </c>
      <c r="BT258" t="s">
        <v>197</v>
      </c>
      <c r="BV258" t="s">
        <v>415</v>
      </c>
      <c r="BW258" t="s">
        <v>416</v>
      </c>
      <c r="BX258" t="s">
        <v>211</v>
      </c>
      <c r="BY258" t="s">
        <v>534</v>
      </c>
      <c r="BZ258" t="s">
        <v>904</v>
      </c>
      <c r="CA258" t="s">
        <v>194</v>
      </c>
      <c r="CB258" t="s">
        <v>214</v>
      </c>
      <c r="CF258" t="s">
        <v>215</v>
      </c>
      <c r="CH258" t="s">
        <v>214</v>
      </c>
      <c r="CI258" t="s">
        <v>214</v>
      </c>
      <c r="CJ258" t="s">
        <v>214</v>
      </c>
      <c r="CP258" t="s">
        <v>214</v>
      </c>
      <c r="CS258" t="s">
        <v>216</v>
      </c>
      <c r="CV258" t="s">
        <v>214</v>
      </c>
      <c r="CW258" t="s">
        <v>214</v>
      </c>
      <c r="CX258" t="s">
        <v>217</v>
      </c>
      <c r="CY258" t="s">
        <v>214</v>
      </c>
      <c r="DA258" t="s">
        <v>218</v>
      </c>
    </row>
    <row r="259" spans="1:172" x14ac:dyDescent="0.3">
      <c r="A259">
        <v>1229768</v>
      </c>
      <c r="B259">
        <v>85828</v>
      </c>
      <c r="C259" t="str">
        <f>"120324602061"</f>
        <v>120324602061</v>
      </c>
      <c r="D259" t="s">
        <v>905</v>
      </c>
      <c r="E259" t="s">
        <v>906</v>
      </c>
      <c r="F259" t="s">
        <v>365</v>
      </c>
      <c r="G259" s="1">
        <v>40992</v>
      </c>
      <c r="I259" t="s">
        <v>222</v>
      </c>
      <c r="J259" t="s">
        <v>188</v>
      </c>
      <c r="K259" t="s">
        <v>223</v>
      </c>
      <c r="Y259" t="str">
        <f>"2018-08-06T00:00:00"</f>
        <v>2018-08-06T00:00:00</v>
      </c>
      <c r="Z259" t="str">
        <f>"№19"</f>
        <v>№19</v>
      </c>
      <c r="AA259" t="s">
        <v>224</v>
      </c>
      <c r="AC259" t="s">
        <v>237</v>
      </c>
      <c r="AD259" t="s">
        <v>285</v>
      </c>
      <c r="AE259" t="s">
        <v>243</v>
      </c>
      <c r="AF259" t="s">
        <v>194</v>
      </c>
      <c r="AH259" t="s">
        <v>195</v>
      </c>
      <c r="AI259">
        <v>2</v>
      </c>
      <c r="AJ259" t="s">
        <v>196</v>
      </c>
      <c r="AK259" t="s">
        <v>194</v>
      </c>
      <c r="AL259" t="s">
        <v>197</v>
      </c>
      <c r="AM259" t="s">
        <v>228</v>
      </c>
      <c r="AR259" t="s">
        <v>194</v>
      </c>
      <c r="AS259" t="s">
        <v>199</v>
      </c>
      <c r="AU259" t="s">
        <v>197</v>
      </c>
      <c r="AZ259" t="s">
        <v>194</v>
      </c>
      <c r="BA259" t="s">
        <v>200</v>
      </c>
      <c r="BB259" t="s">
        <v>201</v>
      </c>
      <c r="BD259" t="s">
        <v>200</v>
      </c>
      <c r="BE259" t="s">
        <v>229</v>
      </c>
      <c r="BF259" t="s">
        <v>197</v>
      </c>
      <c r="BG259" t="s">
        <v>230</v>
      </c>
      <c r="BH259" t="s">
        <v>608</v>
      </c>
      <c r="BJ259" t="s">
        <v>205</v>
      </c>
      <c r="BK259" t="s">
        <v>206</v>
      </c>
      <c r="BL259" t="s">
        <v>194</v>
      </c>
      <c r="BO259" t="s">
        <v>200</v>
      </c>
      <c r="BP259" t="s">
        <v>200</v>
      </c>
      <c r="BQ259" t="s">
        <v>286</v>
      </c>
      <c r="BR259" t="s">
        <v>232</v>
      </c>
      <c r="BT259" t="s">
        <v>197</v>
      </c>
      <c r="BV259" t="s">
        <v>415</v>
      </c>
      <c r="BW259" t="s">
        <v>416</v>
      </c>
      <c r="BX259" t="s">
        <v>211</v>
      </c>
      <c r="BY259" t="s">
        <v>534</v>
      </c>
      <c r="BZ259" t="s">
        <v>535</v>
      </c>
      <c r="CA259" t="s">
        <v>194</v>
      </c>
      <c r="CB259" t="s">
        <v>194</v>
      </c>
      <c r="CC259" t="s">
        <v>264</v>
      </c>
      <c r="CD259" t="s">
        <v>265</v>
      </c>
      <c r="CE259" t="s">
        <v>266</v>
      </c>
      <c r="CF259" t="s">
        <v>215</v>
      </c>
      <c r="CH259" t="s">
        <v>214</v>
      </c>
      <c r="CI259" t="s">
        <v>214</v>
      </c>
      <c r="CJ259" t="s">
        <v>214</v>
      </c>
      <c r="CP259" t="s">
        <v>214</v>
      </c>
      <c r="CS259" t="s">
        <v>216</v>
      </c>
      <c r="CV259" t="s">
        <v>214</v>
      </c>
      <c r="CW259" t="s">
        <v>214</v>
      </c>
      <c r="CX259" t="s">
        <v>217</v>
      </c>
      <c r="CY259" t="s">
        <v>214</v>
      </c>
      <c r="DA259" t="s">
        <v>218</v>
      </c>
    </row>
    <row r="260" spans="1:172" x14ac:dyDescent="0.3">
      <c r="A260">
        <v>1229892</v>
      </c>
      <c r="B260">
        <v>934116</v>
      </c>
      <c r="C260" t="str">
        <f>"091018553159"</f>
        <v>091018553159</v>
      </c>
      <c r="D260" t="s">
        <v>907</v>
      </c>
      <c r="E260" t="s">
        <v>908</v>
      </c>
      <c r="F260" t="s">
        <v>909</v>
      </c>
      <c r="G260" s="1">
        <v>40104</v>
      </c>
      <c r="I260" t="s">
        <v>187</v>
      </c>
      <c r="J260" t="s">
        <v>188</v>
      </c>
      <c r="K260" t="s">
        <v>373</v>
      </c>
      <c r="Y260" t="str">
        <f>"2016-08-29T00:00:00"</f>
        <v>2016-08-29T00:00:00</v>
      </c>
      <c r="Z260" t="str">
        <f>"№39"</f>
        <v>№39</v>
      </c>
      <c r="AA260" t="s">
        <v>835</v>
      </c>
      <c r="AC260" t="s">
        <v>237</v>
      </c>
      <c r="AD260" t="s">
        <v>242</v>
      </c>
      <c r="AE260" t="s">
        <v>413</v>
      </c>
      <c r="AF260" t="s">
        <v>194</v>
      </c>
      <c r="AH260" t="s">
        <v>195</v>
      </c>
      <c r="AI260">
        <v>1</v>
      </c>
      <c r="AJ260" t="s">
        <v>196</v>
      </c>
      <c r="AK260" t="s">
        <v>194</v>
      </c>
      <c r="AL260" t="s">
        <v>197</v>
      </c>
      <c r="AM260" t="s">
        <v>228</v>
      </c>
      <c r="AR260" t="s">
        <v>194</v>
      </c>
      <c r="AS260" t="s">
        <v>199</v>
      </c>
      <c r="AU260" t="s">
        <v>197</v>
      </c>
      <c r="AZ260" t="s">
        <v>194</v>
      </c>
      <c r="BA260" t="s">
        <v>200</v>
      </c>
      <c r="BB260" t="s">
        <v>201</v>
      </c>
      <c r="BD260" t="s">
        <v>200</v>
      </c>
      <c r="BE260" t="s">
        <v>202</v>
      </c>
      <c r="BF260" t="s">
        <v>197</v>
      </c>
      <c r="BG260" t="s">
        <v>230</v>
      </c>
      <c r="BH260" t="s">
        <v>420</v>
      </c>
      <c r="BJ260" t="s">
        <v>205</v>
      </c>
      <c r="BK260" t="s">
        <v>206</v>
      </c>
      <c r="BL260" t="s">
        <v>194</v>
      </c>
      <c r="BO260" t="s">
        <v>216</v>
      </c>
      <c r="BP260" t="s">
        <v>216</v>
      </c>
      <c r="BR260" t="s">
        <v>232</v>
      </c>
      <c r="BT260" t="s">
        <v>197</v>
      </c>
      <c r="BV260" t="s">
        <v>233</v>
      </c>
      <c r="CA260" t="s">
        <v>194</v>
      </c>
      <c r="CB260" t="s">
        <v>214</v>
      </c>
      <c r="CF260" t="s">
        <v>215</v>
      </c>
      <c r="CH260" t="s">
        <v>214</v>
      </c>
      <c r="CI260" t="s">
        <v>214</v>
      </c>
      <c r="CJ260" t="s">
        <v>214</v>
      </c>
      <c r="CP260" t="s">
        <v>214</v>
      </c>
      <c r="CS260" t="s">
        <v>216</v>
      </c>
      <c r="CV260" t="s">
        <v>214</v>
      </c>
      <c r="CW260" t="s">
        <v>214</v>
      </c>
      <c r="CX260" t="s">
        <v>217</v>
      </c>
      <c r="CY260" t="s">
        <v>214</v>
      </c>
      <c r="DA260" t="s">
        <v>218</v>
      </c>
    </row>
    <row r="261" spans="1:172" x14ac:dyDescent="0.3">
      <c r="A261">
        <v>1229905</v>
      </c>
      <c r="B261">
        <v>934126</v>
      </c>
      <c r="C261" t="str">
        <f>"100501550777"</f>
        <v>100501550777</v>
      </c>
      <c r="D261" t="s">
        <v>910</v>
      </c>
      <c r="E261" t="s">
        <v>911</v>
      </c>
      <c r="F261" t="s">
        <v>289</v>
      </c>
      <c r="G261" s="1">
        <v>40299</v>
      </c>
      <c r="I261" t="s">
        <v>187</v>
      </c>
      <c r="J261" t="s">
        <v>188</v>
      </c>
      <c r="K261" t="s">
        <v>223</v>
      </c>
      <c r="Y261" t="str">
        <f>"2016-08-29T00:00:00"</f>
        <v>2016-08-29T00:00:00</v>
      </c>
      <c r="Z261" t="str">
        <f>"№39"</f>
        <v>№39</v>
      </c>
      <c r="AA261" t="s">
        <v>314</v>
      </c>
      <c r="AC261" t="s">
        <v>237</v>
      </c>
      <c r="AD261" t="s">
        <v>242</v>
      </c>
      <c r="AE261" t="s">
        <v>413</v>
      </c>
      <c r="AF261" t="s">
        <v>194</v>
      </c>
      <c r="AH261" t="s">
        <v>195</v>
      </c>
      <c r="AI261">
        <v>1</v>
      </c>
      <c r="AJ261" t="s">
        <v>196</v>
      </c>
      <c r="AK261" t="s">
        <v>194</v>
      </c>
      <c r="AL261" t="s">
        <v>197</v>
      </c>
      <c r="AM261" t="s">
        <v>198</v>
      </c>
      <c r="AQ261" t="str">
        <f>"2020-11-04T09:10:38"</f>
        <v>2020-11-04T09:10:38</v>
      </c>
      <c r="AR261" t="s">
        <v>194</v>
      </c>
      <c r="AS261" t="s">
        <v>199</v>
      </c>
      <c r="AU261" t="s">
        <v>197</v>
      </c>
      <c r="AZ261" t="s">
        <v>194</v>
      </c>
      <c r="BA261" t="s">
        <v>200</v>
      </c>
      <c r="BB261" t="s">
        <v>201</v>
      </c>
      <c r="BC261" t="s">
        <v>317</v>
      </c>
      <c r="BD261" t="s">
        <v>200</v>
      </c>
      <c r="BE261" t="s">
        <v>229</v>
      </c>
      <c r="BF261" t="s">
        <v>197</v>
      </c>
      <c r="BG261" t="s">
        <v>230</v>
      </c>
      <c r="BH261" t="s">
        <v>245</v>
      </c>
      <c r="BJ261" t="s">
        <v>205</v>
      </c>
      <c r="BK261" t="s">
        <v>206</v>
      </c>
      <c r="BL261" t="s">
        <v>194</v>
      </c>
      <c r="BO261" t="s">
        <v>200</v>
      </c>
      <c r="BP261" t="s">
        <v>200</v>
      </c>
      <c r="BR261" t="s">
        <v>232</v>
      </c>
      <c r="BT261" t="s">
        <v>197</v>
      </c>
      <c r="BV261" t="s">
        <v>233</v>
      </c>
      <c r="CA261" t="s">
        <v>194</v>
      </c>
      <c r="CB261" t="s">
        <v>214</v>
      </c>
      <c r="CF261" t="s">
        <v>215</v>
      </c>
      <c r="CH261" t="s">
        <v>214</v>
      </c>
      <c r="CI261" t="s">
        <v>214</v>
      </c>
      <c r="CJ261" t="s">
        <v>214</v>
      </c>
      <c r="CP261" t="s">
        <v>214</v>
      </c>
      <c r="CS261" t="s">
        <v>216</v>
      </c>
      <c r="CV261" t="s">
        <v>214</v>
      </c>
      <c r="CW261" t="s">
        <v>214</v>
      </c>
      <c r="CX261" t="s">
        <v>217</v>
      </c>
      <c r="CY261" t="s">
        <v>214</v>
      </c>
      <c r="DA261" t="s">
        <v>218</v>
      </c>
    </row>
    <row r="262" spans="1:172" x14ac:dyDescent="0.3">
      <c r="A262">
        <v>13750432</v>
      </c>
      <c r="B262">
        <v>9111733</v>
      </c>
      <c r="C262" t="str">
        <f>"130924505459"</f>
        <v>130924505459</v>
      </c>
      <c r="D262" t="s">
        <v>912</v>
      </c>
      <c r="E262" t="s">
        <v>913</v>
      </c>
      <c r="F262" t="s">
        <v>344</v>
      </c>
      <c r="G262" s="1">
        <v>41541</v>
      </c>
      <c r="I262" t="s">
        <v>187</v>
      </c>
      <c r="J262" t="s">
        <v>188</v>
      </c>
      <c r="K262" t="s">
        <v>345</v>
      </c>
      <c r="Y262" t="str">
        <f>"2019-09-02T00:00:00"</f>
        <v>2019-09-02T00:00:00</v>
      </c>
      <c r="Z262" t="str">
        <f>"37"</f>
        <v>37</v>
      </c>
      <c r="AA262" t="s">
        <v>190</v>
      </c>
      <c r="AC262" t="s">
        <v>191</v>
      </c>
      <c r="AD262" t="s">
        <v>815</v>
      </c>
      <c r="AE262" t="s">
        <v>227</v>
      </c>
      <c r="AF262" t="s">
        <v>194</v>
      </c>
      <c r="AH262" t="s">
        <v>195</v>
      </c>
      <c r="AI262">
        <v>3</v>
      </c>
      <c r="AJ262" t="s">
        <v>196</v>
      </c>
      <c r="AK262" t="s">
        <v>194</v>
      </c>
      <c r="AL262" t="s">
        <v>197</v>
      </c>
      <c r="AM262" t="s">
        <v>228</v>
      </c>
      <c r="AR262" t="s">
        <v>194</v>
      </c>
      <c r="AS262" t="s">
        <v>199</v>
      </c>
      <c r="AU262" t="s">
        <v>197</v>
      </c>
      <c r="AZ262" t="s">
        <v>194</v>
      </c>
      <c r="BA262" t="s">
        <v>200</v>
      </c>
      <c r="BB262" t="s">
        <v>201</v>
      </c>
      <c r="BD262" t="s">
        <v>200</v>
      </c>
      <c r="BE262" t="s">
        <v>202</v>
      </c>
      <c r="BF262" t="s">
        <v>197</v>
      </c>
      <c r="BG262" t="s">
        <v>230</v>
      </c>
      <c r="BH262" t="s">
        <v>420</v>
      </c>
      <c r="BJ262" t="s">
        <v>205</v>
      </c>
      <c r="BK262" t="s">
        <v>206</v>
      </c>
      <c r="BL262" t="s">
        <v>194</v>
      </c>
      <c r="BO262" t="s">
        <v>216</v>
      </c>
      <c r="BP262" t="s">
        <v>216</v>
      </c>
      <c r="BQ262" t="s">
        <v>280</v>
      </c>
      <c r="BR262" t="s">
        <v>232</v>
      </c>
      <c r="BT262" t="s">
        <v>197</v>
      </c>
      <c r="BV262" t="s">
        <v>233</v>
      </c>
      <c r="CA262" t="s">
        <v>194</v>
      </c>
      <c r="CB262" t="s">
        <v>214</v>
      </c>
      <c r="CF262" t="s">
        <v>215</v>
      </c>
      <c r="CH262" t="s">
        <v>214</v>
      </c>
      <c r="CI262" t="s">
        <v>214</v>
      </c>
      <c r="CJ262" t="s">
        <v>214</v>
      </c>
      <c r="CP262" t="s">
        <v>214</v>
      </c>
      <c r="CS262" t="s">
        <v>216</v>
      </c>
      <c r="CV262" t="s">
        <v>214</v>
      </c>
      <c r="CW262" t="s">
        <v>214</v>
      </c>
      <c r="CX262" t="s">
        <v>217</v>
      </c>
      <c r="CY262" t="s">
        <v>214</v>
      </c>
      <c r="DA262" t="s">
        <v>218</v>
      </c>
    </row>
    <row r="263" spans="1:172" x14ac:dyDescent="0.3">
      <c r="A263">
        <v>1229998</v>
      </c>
      <c r="B263">
        <v>81565</v>
      </c>
      <c r="C263" t="str">
        <f>"110322504742"</f>
        <v>110322504742</v>
      </c>
      <c r="D263" t="s">
        <v>914</v>
      </c>
      <c r="E263" t="s">
        <v>512</v>
      </c>
      <c r="F263" t="s">
        <v>553</v>
      </c>
      <c r="G263" s="1">
        <v>40624</v>
      </c>
      <c r="I263" t="s">
        <v>187</v>
      </c>
      <c r="J263" t="s">
        <v>188</v>
      </c>
      <c r="K263" t="s">
        <v>223</v>
      </c>
      <c r="Y263" t="str">
        <f>"2016-09-19T00:00:00"</f>
        <v>2016-09-19T00:00:00</v>
      </c>
      <c r="Z263" t="str">
        <f>"№55"</f>
        <v>№55</v>
      </c>
      <c r="AA263" t="s">
        <v>224</v>
      </c>
      <c r="AC263" t="s">
        <v>191</v>
      </c>
      <c r="AD263" t="s">
        <v>261</v>
      </c>
      <c r="AE263" t="s">
        <v>227</v>
      </c>
      <c r="AF263" t="s">
        <v>194</v>
      </c>
      <c r="AH263" t="s">
        <v>195</v>
      </c>
      <c r="AI263">
        <v>2</v>
      </c>
      <c r="AJ263" t="s">
        <v>196</v>
      </c>
      <c r="AK263" t="s">
        <v>194</v>
      </c>
      <c r="AL263" t="s">
        <v>197</v>
      </c>
      <c r="AM263" t="s">
        <v>228</v>
      </c>
      <c r="AR263" t="s">
        <v>194</v>
      </c>
      <c r="AS263" t="s">
        <v>199</v>
      </c>
      <c r="AU263" t="s">
        <v>197</v>
      </c>
      <c r="AZ263" t="s">
        <v>194</v>
      </c>
      <c r="BA263" t="s">
        <v>200</v>
      </c>
      <c r="BB263" t="s">
        <v>201</v>
      </c>
      <c r="BD263" t="s">
        <v>200</v>
      </c>
      <c r="BE263" t="s">
        <v>202</v>
      </c>
      <c r="BF263" t="s">
        <v>197</v>
      </c>
      <c r="BG263" t="s">
        <v>238</v>
      </c>
      <c r="BH263">
        <v>3</v>
      </c>
      <c r="BJ263" t="s">
        <v>205</v>
      </c>
      <c r="BK263" t="s">
        <v>206</v>
      </c>
      <c r="BL263" t="s">
        <v>194</v>
      </c>
      <c r="BO263" t="s">
        <v>200</v>
      </c>
      <c r="BP263" t="s">
        <v>200</v>
      </c>
      <c r="BR263" t="s">
        <v>246</v>
      </c>
      <c r="BS263" t="s">
        <v>208</v>
      </c>
      <c r="BT263" t="s">
        <v>197</v>
      </c>
      <c r="BV263" t="s">
        <v>233</v>
      </c>
      <c r="CA263" t="s">
        <v>194</v>
      </c>
      <c r="CB263" t="s">
        <v>214</v>
      </c>
      <c r="CF263" t="s">
        <v>215</v>
      </c>
      <c r="CH263" t="s">
        <v>214</v>
      </c>
      <c r="CI263" t="s">
        <v>214</v>
      </c>
      <c r="CJ263" t="s">
        <v>214</v>
      </c>
      <c r="CP263" t="s">
        <v>214</v>
      </c>
      <c r="CS263" t="s">
        <v>216</v>
      </c>
      <c r="CV263" t="s">
        <v>214</v>
      </c>
      <c r="CW263" t="s">
        <v>214</v>
      </c>
      <c r="CX263" t="s">
        <v>217</v>
      </c>
      <c r="CY263" t="s">
        <v>214</v>
      </c>
      <c r="DA263" t="s">
        <v>218</v>
      </c>
    </row>
    <row r="264" spans="1:172" x14ac:dyDescent="0.3">
      <c r="A264">
        <v>13750783</v>
      </c>
      <c r="B264">
        <v>940237</v>
      </c>
      <c r="C264" t="str">
        <f>"130812000100"</f>
        <v>130812000100</v>
      </c>
      <c r="D264" t="s">
        <v>915</v>
      </c>
      <c r="E264" t="s">
        <v>916</v>
      </c>
      <c r="F264" t="s">
        <v>917</v>
      </c>
      <c r="G264" s="1">
        <v>41498</v>
      </c>
      <c r="I264" t="s">
        <v>222</v>
      </c>
      <c r="J264" t="s">
        <v>775</v>
      </c>
      <c r="K264" t="s">
        <v>189</v>
      </c>
      <c r="L264" t="s">
        <v>214</v>
      </c>
      <c r="Q264" t="s">
        <v>214</v>
      </c>
      <c r="Y264" t="str">
        <f t="shared" ref="Y264:Y272" si="12">"2019-09-02T00:00:00"</f>
        <v>2019-09-02T00:00:00</v>
      </c>
      <c r="Z264" t="str">
        <f t="shared" ref="Z264:Z272" si="13">"37"</f>
        <v>37</v>
      </c>
      <c r="AA264" t="s">
        <v>190</v>
      </c>
      <c r="AC264" t="s">
        <v>191</v>
      </c>
      <c r="AD264" t="s">
        <v>815</v>
      </c>
      <c r="AE264" t="s">
        <v>243</v>
      </c>
      <c r="AF264" t="s">
        <v>194</v>
      </c>
      <c r="AH264" t="s">
        <v>195</v>
      </c>
      <c r="AI264">
        <v>3</v>
      </c>
      <c r="AJ264" t="s">
        <v>196</v>
      </c>
      <c r="AK264" t="s">
        <v>194</v>
      </c>
      <c r="AL264" t="s">
        <v>197</v>
      </c>
      <c r="AM264" t="s">
        <v>228</v>
      </c>
      <c r="AR264" t="s">
        <v>194</v>
      </c>
      <c r="AS264" t="s">
        <v>199</v>
      </c>
      <c r="AU264" t="s">
        <v>197</v>
      </c>
      <c r="AZ264" t="s">
        <v>194</v>
      </c>
      <c r="BA264" t="s">
        <v>200</v>
      </c>
      <c r="BB264" t="s">
        <v>201</v>
      </c>
      <c r="BD264" t="s">
        <v>200</v>
      </c>
      <c r="BE264" t="s">
        <v>229</v>
      </c>
      <c r="BF264" t="s">
        <v>197</v>
      </c>
      <c r="BG264" t="s">
        <v>230</v>
      </c>
      <c r="BH264" t="s">
        <v>263</v>
      </c>
      <c r="BJ264" t="s">
        <v>205</v>
      </c>
      <c r="BK264" t="s">
        <v>206</v>
      </c>
      <c r="BL264" t="s">
        <v>214</v>
      </c>
      <c r="BO264" t="s">
        <v>200</v>
      </c>
      <c r="BP264" t="s">
        <v>200</v>
      </c>
      <c r="BQ264" t="s">
        <v>280</v>
      </c>
      <c r="BR264" t="s">
        <v>232</v>
      </c>
      <c r="BT264" t="s">
        <v>197</v>
      </c>
      <c r="BV264" t="s">
        <v>233</v>
      </c>
      <c r="CA264" t="s">
        <v>194</v>
      </c>
      <c r="CB264" t="s">
        <v>214</v>
      </c>
      <c r="CF264" t="s">
        <v>215</v>
      </c>
      <c r="CH264" t="s">
        <v>214</v>
      </c>
      <c r="CI264" t="s">
        <v>214</v>
      </c>
      <c r="CJ264" t="s">
        <v>214</v>
      </c>
      <c r="CP264" t="s">
        <v>214</v>
      </c>
      <c r="CS264" t="s">
        <v>216</v>
      </c>
      <c r="CV264" t="s">
        <v>214</v>
      </c>
      <c r="CW264" t="s">
        <v>214</v>
      </c>
      <c r="CX264" t="s">
        <v>217</v>
      </c>
      <c r="CY264" t="s">
        <v>214</v>
      </c>
      <c r="DA264" t="s">
        <v>218</v>
      </c>
    </row>
    <row r="265" spans="1:172" x14ac:dyDescent="0.3">
      <c r="A265">
        <v>13750927</v>
      </c>
      <c r="B265">
        <v>956127</v>
      </c>
      <c r="C265" t="str">
        <f>"130428502385"</f>
        <v>130428502385</v>
      </c>
      <c r="D265" t="s">
        <v>918</v>
      </c>
      <c r="E265" t="s">
        <v>919</v>
      </c>
      <c r="F265" t="s">
        <v>920</v>
      </c>
      <c r="G265" s="1">
        <v>41392</v>
      </c>
      <c r="I265" t="s">
        <v>187</v>
      </c>
      <c r="J265" t="s">
        <v>188</v>
      </c>
      <c r="K265" t="s">
        <v>189</v>
      </c>
      <c r="Y265" t="str">
        <f t="shared" si="12"/>
        <v>2019-09-02T00:00:00</v>
      </c>
      <c r="Z265" t="str">
        <f t="shared" si="13"/>
        <v>37</v>
      </c>
      <c r="AA265" t="s">
        <v>190</v>
      </c>
      <c r="AC265" t="s">
        <v>191</v>
      </c>
      <c r="AD265" t="s">
        <v>815</v>
      </c>
      <c r="AE265" t="s">
        <v>243</v>
      </c>
      <c r="AF265" t="s">
        <v>194</v>
      </c>
      <c r="AH265" t="s">
        <v>195</v>
      </c>
      <c r="AI265">
        <v>3</v>
      </c>
      <c r="AJ265" t="s">
        <v>196</v>
      </c>
      <c r="AK265" t="s">
        <v>194</v>
      </c>
      <c r="AL265" t="s">
        <v>197</v>
      </c>
      <c r="AM265" t="s">
        <v>228</v>
      </c>
      <c r="AR265" t="s">
        <v>194</v>
      </c>
      <c r="AS265" t="s">
        <v>199</v>
      </c>
      <c r="AU265" t="s">
        <v>197</v>
      </c>
      <c r="AZ265" t="s">
        <v>194</v>
      </c>
      <c r="BA265" t="s">
        <v>200</v>
      </c>
      <c r="BB265" t="s">
        <v>201</v>
      </c>
      <c r="BD265" t="s">
        <v>200</v>
      </c>
      <c r="BE265" t="s">
        <v>229</v>
      </c>
      <c r="BF265" t="s">
        <v>197</v>
      </c>
      <c r="BG265" t="s">
        <v>230</v>
      </c>
      <c r="BH265" t="s">
        <v>307</v>
      </c>
      <c r="BJ265" t="s">
        <v>205</v>
      </c>
      <c r="BK265" t="s">
        <v>206</v>
      </c>
      <c r="BL265" t="s">
        <v>194</v>
      </c>
      <c r="BO265" t="s">
        <v>200</v>
      </c>
      <c r="BP265" t="s">
        <v>200</v>
      </c>
      <c r="BQ265" t="s">
        <v>280</v>
      </c>
      <c r="BR265" t="s">
        <v>232</v>
      </c>
      <c r="BT265" t="s">
        <v>197</v>
      </c>
      <c r="BV265" t="s">
        <v>233</v>
      </c>
      <c r="CA265" t="s">
        <v>194</v>
      </c>
      <c r="CB265" t="s">
        <v>214</v>
      </c>
      <c r="CF265" t="s">
        <v>215</v>
      </c>
      <c r="CH265" t="s">
        <v>214</v>
      </c>
      <c r="CI265" t="s">
        <v>214</v>
      </c>
      <c r="CJ265" t="s">
        <v>214</v>
      </c>
      <c r="CP265" t="s">
        <v>214</v>
      </c>
      <c r="CS265" t="s">
        <v>216</v>
      </c>
      <c r="CV265" t="s">
        <v>214</v>
      </c>
      <c r="CW265" t="s">
        <v>214</v>
      </c>
      <c r="CX265" t="s">
        <v>217</v>
      </c>
      <c r="CY265" t="s">
        <v>214</v>
      </c>
      <c r="DA265" t="s">
        <v>218</v>
      </c>
    </row>
    <row r="266" spans="1:172" x14ac:dyDescent="0.3">
      <c r="A266">
        <v>13751229</v>
      </c>
      <c r="B266">
        <v>956133</v>
      </c>
      <c r="C266" t="str">
        <f>"131022504252"</f>
        <v>131022504252</v>
      </c>
      <c r="D266" t="s">
        <v>921</v>
      </c>
      <c r="E266" t="s">
        <v>584</v>
      </c>
      <c r="F266" t="s">
        <v>922</v>
      </c>
      <c r="G266" s="1">
        <v>41569</v>
      </c>
      <c r="I266" t="s">
        <v>187</v>
      </c>
      <c r="J266" t="s">
        <v>188</v>
      </c>
      <c r="K266" t="s">
        <v>189</v>
      </c>
      <c r="Y266" t="str">
        <f t="shared" si="12"/>
        <v>2019-09-02T00:00:00</v>
      </c>
      <c r="Z266" t="str">
        <f t="shared" si="13"/>
        <v>37</v>
      </c>
      <c r="AA266" t="s">
        <v>190</v>
      </c>
      <c r="AC266" t="s">
        <v>191</v>
      </c>
      <c r="AD266" t="s">
        <v>815</v>
      </c>
      <c r="AE266" t="s">
        <v>243</v>
      </c>
      <c r="AF266" t="s">
        <v>194</v>
      </c>
      <c r="AH266" t="s">
        <v>195</v>
      </c>
      <c r="AI266">
        <v>3</v>
      </c>
      <c r="AJ266" t="s">
        <v>196</v>
      </c>
      <c r="AK266" t="s">
        <v>194</v>
      </c>
      <c r="AL266" t="s">
        <v>197</v>
      </c>
      <c r="AM266" t="s">
        <v>228</v>
      </c>
      <c r="AR266" t="s">
        <v>194</v>
      </c>
      <c r="AS266" t="s">
        <v>199</v>
      </c>
      <c r="AU266" t="s">
        <v>197</v>
      </c>
      <c r="AZ266" t="s">
        <v>194</v>
      </c>
      <c r="BA266" t="s">
        <v>200</v>
      </c>
      <c r="BB266" t="s">
        <v>201</v>
      </c>
      <c r="BD266" t="s">
        <v>200</v>
      </c>
      <c r="BE266" t="s">
        <v>229</v>
      </c>
      <c r="BF266" t="s">
        <v>197</v>
      </c>
      <c r="BG266" t="s">
        <v>230</v>
      </c>
      <c r="BH266" t="s">
        <v>307</v>
      </c>
      <c r="BJ266" t="s">
        <v>205</v>
      </c>
      <c r="BK266" t="s">
        <v>206</v>
      </c>
      <c r="BL266" t="s">
        <v>194</v>
      </c>
      <c r="BO266" t="s">
        <v>200</v>
      </c>
      <c r="BP266" t="s">
        <v>200</v>
      </c>
      <c r="BQ266" t="s">
        <v>280</v>
      </c>
      <c r="BR266" t="s">
        <v>232</v>
      </c>
      <c r="BT266" t="s">
        <v>197</v>
      </c>
      <c r="BV266" t="s">
        <v>233</v>
      </c>
      <c r="CA266" t="s">
        <v>194</v>
      </c>
      <c r="CB266" t="s">
        <v>214</v>
      </c>
      <c r="CF266" t="s">
        <v>215</v>
      </c>
      <c r="CH266" t="s">
        <v>214</v>
      </c>
      <c r="CI266" t="s">
        <v>214</v>
      </c>
      <c r="CJ266" t="s">
        <v>214</v>
      </c>
      <c r="CP266" t="s">
        <v>214</v>
      </c>
      <c r="CS266" t="s">
        <v>216</v>
      </c>
      <c r="CV266" t="s">
        <v>214</v>
      </c>
      <c r="CW266" t="s">
        <v>214</v>
      </c>
      <c r="CX266" t="s">
        <v>217</v>
      </c>
      <c r="CY266" t="s">
        <v>214</v>
      </c>
      <c r="DA266" t="s">
        <v>218</v>
      </c>
    </row>
    <row r="267" spans="1:172" x14ac:dyDescent="0.3">
      <c r="A267">
        <v>13751323</v>
      </c>
      <c r="B267">
        <v>898459</v>
      </c>
      <c r="C267" t="str">
        <f>"131029601748"</f>
        <v>131029601748</v>
      </c>
      <c r="D267" t="s">
        <v>378</v>
      </c>
      <c r="E267" t="s">
        <v>667</v>
      </c>
      <c r="F267" t="s">
        <v>379</v>
      </c>
      <c r="G267" s="1">
        <v>41576</v>
      </c>
      <c r="I267" t="s">
        <v>222</v>
      </c>
      <c r="J267" t="s">
        <v>188</v>
      </c>
      <c r="K267" t="s">
        <v>223</v>
      </c>
      <c r="Y267" t="str">
        <f t="shared" si="12"/>
        <v>2019-09-02T00:00:00</v>
      </c>
      <c r="Z267" t="str">
        <f t="shared" si="13"/>
        <v>37</v>
      </c>
      <c r="AA267" t="s">
        <v>190</v>
      </c>
      <c r="AC267" t="s">
        <v>225</v>
      </c>
      <c r="AD267" t="s">
        <v>815</v>
      </c>
      <c r="AE267" t="s">
        <v>227</v>
      </c>
      <c r="AF267" t="s">
        <v>194</v>
      </c>
      <c r="AH267" t="s">
        <v>195</v>
      </c>
      <c r="AI267">
        <v>3</v>
      </c>
      <c r="AJ267" t="s">
        <v>196</v>
      </c>
      <c r="AK267" t="s">
        <v>194</v>
      </c>
      <c r="AL267" t="s">
        <v>197</v>
      </c>
      <c r="AM267" t="s">
        <v>228</v>
      </c>
      <c r="AR267" t="s">
        <v>194</v>
      </c>
      <c r="AS267" t="s">
        <v>199</v>
      </c>
      <c r="AU267" t="s">
        <v>197</v>
      </c>
      <c r="AZ267" t="s">
        <v>194</v>
      </c>
      <c r="BA267" t="s">
        <v>200</v>
      </c>
      <c r="BB267" t="s">
        <v>201</v>
      </c>
      <c r="BC267" t="s">
        <v>317</v>
      </c>
      <c r="BD267" t="s">
        <v>200</v>
      </c>
      <c r="BE267" t="s">
        <v>229</v>
      </c>
      <c r="BF267" t="s">
        <v>197</v>
      </c>
      <c r="BG267" t="s">
        <v>230</v>
      </c>
      <c r="BH267" t="s">
        <v>263</v>
      </c>
      <c r="BJ267" t="s">
        <v>205</v>
      </c>
      <c r="BK267" t="s">
        <v>206</v>
      </c>
      <c r="BL267" t="s">
        <v>194</v>
      </c>
      <c r="BO267" t="s">
        <v>200</v>
      </c>
      <c r="BP267" t="s">
        <v>200</v>
      </c>
      <c r="BQ267" t="s">
        <v>280</v>
      </c>
      <c r="BR267" t="s">
        <v>232</v>
      </c>
      <c r="BT267" t="s">
        <v>197</v>
      </c>
      <c r="BV267" t="s">
        <v>471</v>
      </c>
      <c r="BW267" t="s">
        <v>416</v>
      </c>
      <c r="BX267" t="s">
        <v>539</v>
      </c>
      <c r="BY267" t="s">
        <v>534</v>
      </c>
      <c r="BZ267" t="s">
        <v>845</v>
      </c>
      <c r="CA267" t="s">
        <v>194</v>
      </c>
      <c r="CB267" t="s">
        <v>214</v>
      </c>
      <c r="CF267" t="s">
        <v>215</v>
      </c>
      <c r="CH267" t="s">
        <v>214</v>
      </c>
      <c r="CI267" t="s">
        <v>214</v>
      </c>
      <c r="CJ267" t="s">
        <v>214</v>
      </c>
      <c r="CP267" t="s">
        <v>214</v>
      </c>
      <c r="CS267" t="s">
        <v>216</v>
      </c>
      <c r="CV267" t="s">
        <v>214</v>
      </c>
      <c r="CW267" t="s">
        <v>214</v>
      </c>
      <c r="CX267" t="s">
        <v>217</v>
      </c>
      <c r="CY267" t="s">
        <v>214</v>
      </c>
      <c r="DA267" t="s">
        <v>218</v>
      </c>
    </row>
    <row r="268" spans="1:172" x14ac:dyDescent="0.3">
      <c r="A268">
        <v>13751493</v>
      </c>
      <c r="B268">
        <v>9112077</v>
      </c>
      <c r="C268" t="str">
        <f>"130817503471"</f>
        <v>130817503471</v>
      </c>
      <c r="D268" t="s">
        <v>923</v>
      </c>
      <c r="E268" t="s">
        <v>376</v>
      </c>
      <c r="F268" t="s">
        <v>289</v>
      </c>
      <c r="G268" s="1">
        <v>41503</v>
      </c>
      <c r="I268" t="s">
        <v>187</v>
      </c>
      <c r="J268" t="s">
        <v>188</v>
      </c>
      <c r="K268" t="s">
        <v>223</v>
      </c>
      <c r="Y268" t="str">
        <f t="shared" si="12"/>
        <v>2019-09-02T00:00:00</v>
      </c>
      <c r="Z268" t="str">
        <f t="shared" si="13"/>
        <v>37</v>
      </c>
      <c r="AA268" t="s">
        <v>190</v>
      </c>
      <c r="AC268" t="s">
        <v>191</v>
      </c>
      <c r="AD268" t="s">
        <v>815</v>
      </c>
      <c r="AE268" t="s">
        <v>227</v>
      </c>
      <c r="AF268" t="s">
        <v>194</v>
      </c>
      <c r="AH268" t="s">
        <v>195</v>
      </c>
      <c r="AI268">
        <v>3</v>
      </c>
      <c r="AJ268" t="s">
        <v>196</v>
      </c>
      <c r="AK268" t="s">
        <v>194</v>
      </c>
      <c r="AL268" t="s">
        <v>197</v>
      </c>
      <c r="AM268" t="s">
        <v>228</v>
      </c>
      <c r="AR268" t="s">
        <v>194</v>
      </c>
      <c r="AS268" t="s">
        <v>199</v>
      </c>
      <c r="AU268" t="s">
        <v>197</v>
      </c>
      <c r="AZ268" t="s">
        <v>194</v>
      </c>
      <c r="BA268" t="s">
        <v>200</v>
      </c>
      <c r="BB268" t="s">
        <v>201</v>
      </c>
      <c r="BD268" t="s">
        <v>200</v>
      </c>
      <c r="BE268" t="s">
        <v>229</v>
      </c>
      <c r="BF268" t="s">
        <v>197</v>
      </c>
      <c r="BG268" t="s">
        <v>230</v>
      </c>
      <c r="BH268" t="s">
        <v>263</v>
      </c>
      <c r="BJ268" t="s">
        <v>205</v>
      </c>
      <c r="BK268" t="s">
        <v>206</v>
      </c>
      <c r="BL268" t="s">
        <v>194</v>
      </c>
      <c r="BO268" t="s">
        <v>200</v>
      </c>
      <c r="BP268" t="s">
        <v>200</v>
      </c>
      <c r="BQ268" t="s">
        <v>280</v>
      </c>
      <c r="BR268" t="s">
        <v>232</v>
      </c>
      <c r="BT268" t="s">
        <v>197</v>
      </c>
      <c r="BV268" t="s">
        <v>233</v>
      </c>
      <c r="CA268" t="s">
        <v>194</v>
      </c>
      <c r="CB268" t="s">
        <v>214</v>
      </c>
      <c r="CF268" t="s">
        <v>215</v>
      </c>
      <c r="CH268" t="s">
        <v>214</v>
      </c>
      <c r="CI268" t="s">
        <v>214</v>
      </c>
      <c r="CJ268" t="s">
        <v>214</v>
      </c>
      <c r="CP268" t="s">
        <v>214</v>
      </c>
      <c r="CS268" t="s">
        <v>216</v>
      </c>
      <c r="CV268" t="s">
        <v>214</v>
      </c>
      <c r="CW268" t="s">
        <v>214</v>
      </c>
      <c r="CX268" t="s">
        <v>217</v>
      </c>
      <c r="CY268" t="s">
        <v>214</v>
      </c>
      <c r="DA268" t="s">
        <v>218</v>
      </c>
    </row>
    <row r="269" spans="1:172" x14ac:dyDescent="0.3">
      <c r="A269">
        <v>13752104</v>
      </c>
      <c r="B269">
        <v>9112271</v>
      </c>
      <c r="C269" t="str">
        <f>"130817503461"</f>
        <v>130817503461</v>
      </c>
      <c r="D269" t="s">
        <v>923</v>
      </c>
      <c r="E269" t="s">
        <v>322</v>
      </c>
      <c r="F269" t="s">
        <v>289</v>
      </c>
      <c r="G269" s="1">
        <v>41503</v>
      </c>
      <c r="I269" t="s">
        <v>187</v>
      </c>
      <c r="J269" t="s">
        <v>188</v>
      </c>
      <c r="K269" t="s">
        <v>223</v>
      </c>
      <c r="Y269" t="str">
        <f t="shared" si="12"/>
        <v>2019-09-02T00:00:00</v>
      </c>
      <c r="Z269" t="str">
        <f t="shared" si="13"/>
        <v>37</v>
      </c>
      <c r="AA269" t="s">
        <v>190</v>
      </c>
      <c r="AC269" t="s">
        <v>191</v>
      </c>
      <c r="AD269" t="s">
        <v>815</v>
      </c>
      <c r="AE269" t="s">
        <v>227</v>
      </c>
      <c r="AF269" t="s">
        <v>194</v>
      </c>
      <c r="AH269" t="s">
        <v>195</v>
      </c>
      <c r="AI269">
        <v>3</v>
      </c>
      <c r="AJ269" t="s">
        <v>196</v>
      </c>
      <c r="AK269" t="s">
        <v>194</v>
      </c>
      <c r="AL269" t="s">
        <v>197</v>
      </c>
      <c r="AM269" t="s">
        <v>228</v>
      </c>
      <c r="AR269" t="s">
        <v>194</v>
      </c>
      <c r="AS269" t="s">
        <v>199</v>
      </c>
      <c r="AU269" t="s">
        <v>197</v>
      </c>
      <c r="AZ269" t="s">
        <v>194</v>
      </c>
      <c r="BA269" t="s">
        <v>200</v>
      </c>
      <c r="BB269" t="s">
        <v>201</v>
      </c>
      <c r="BD269" t="s">
        <v>200</v>
      </c>
      <c r="BE269" t="s">
        <v>229</v>
      </c>
      <c r="BF269" t="s">
        <v>197</v>
      </c>
      <c r="BG269" t="s">
        <v>230</v>
      </c>
      <c r="BH269" t="s">
        <v>307</v>
      </c>
      <c r="BJ269" t="s">
        <v>205</v>
      </c>
      <c r="BK269" t="s">
        <v>206</v>
      </c>
      <c r="BL269" t="s">
        <v>194</v>
      </c>
      <c r="BO269" t="s">
        <v>200</v>
      </c>
      <c r="BP269" t="s">
        <v>200</v>
      </c>
      <c r="BQ269" t="s">
        <v>280</v>
      </c>
      <c r="BR269" t="s">
        <v>232</v>
      </c>
      <c r="BT269" t="s">
        <v>197</v>
      </c>
      <c r="BV269" t="s">
        <v>471</v>
      </c>
      <c r="BW269" t="s">
        <v>416</v>
      </c>
      <c r="BX269" t="s">
        <v>539</v>
      </c>
      <c r="BY269" t="s">
        <v>534</v>
      </c>
      <c r="BZ269" t="s">
        <v>924</v>
      </c>
      <c r="CA269" t="s">
        <v>194</v>
      </c>
      <c r="CB269" t="s">
        <v>214</v>
      </c>
      <c r="CF269" t="s">
        <v>215</v>
      </c>
      <c r="CH269" t="s">
        <v>214</v>
      </c>
      <c r="CI269" t="s">
        <v>214</v>
      </c>
      <c r="CJ269" t="s">
        <v>214</v>
      </c>
      <c r="CP269" t="s">
        <v>214</v>
      </c>
      <c r="CS269" t="s">
        <v>216</v>
      </c>
      <c r="CV269" t="s">
        <v>214</v>
      </c>
      <c r="CW269" t="s">
        <v>214</v>
      </c>
      <c r="CX269" t="s">
        <v>217</v>
      </c>
      <c r="CY269" t="s">
        <v>214</v>
      </c>
      <c r="DA269" t="s">
        <v>218</v>
      </c>
    </row>
    <row r="270" spans="1:172" x14ac:dyDescent="0.3">
      <c r="A270">
        <v>13752216</v>
      </c>
      <c r="B270">
        <v>9112302</v>
      </c>
      <c r="C270" t="str">
        <f>"121220601171"</f>
        <v>121220601171</v>
      </c>
      <c r="D270" t="s">
        <v>925</v>
      </c>
      <c r="E270" t="s">
        <v>330</v>
      </c>
      <c r="F270" t="s">
        <v>399</v>
      </c>
      <c r="G270" s="1">
        <v>41263</v>
      </c>
      <c r="I270" t="s">
        <v>222</v>
      </c>
      <c r="J270" t="s">
        <v>188</v>
      </c>
      <c r="K270" t="s">
        <v>223</v>
      </c>
      <c r="Y270" t="str">
        <f t="shared" si="12"/>
        <v>2019-09-02T00:00:00</v>
      </c>
      <c r="Z270" t="str">
        <f t="shared" si="13"/>
        <v>37</v>
      </c>
      <c r="AA270" t="s">
        <v>190</v>
      </c>
      <c r="AC270" t="s">
        <v>191</v>
      </c>
      <c r="AD270" t="s">
        <v>815</v>
      </c>
      <c r="AE270" t="s">
        <v>227</v>
      </c>
      <c r="AF270" t="s">
        <v>194</v>
      </c>
      <c r="AH270" t="s">
        <v>195</v>
      </c>
      <c r="AI270">
        <v>3</v>
      </c>
      <c r="AJ270" t="s">
        <v>196</v>
      </c>
      <c r="AK270" t="s">
        <v>194</v>
      </c>
      <c r="AL270" t="s">
        <v>197</v>
      </c>
      <c r="AM270" t="s">
        <v>228</v>
      </c>
      <c r="AR270" t="s">
        <v>194</v>
      </c>
      <c r="AS270" t="s">
        <v>199</v>
      </c>
      <c r="AU270" t="s">
        <v>197</v>
      </c>
      <c r="AZ270" t="s">
        <v>194</v>
      </c>
      <c r="BA270" t="s">
        <v>200</v>
      </c>
      <c r="BB270" t="s">
        <v>201</v>
      </c>
      <c r="BD270" t="s">
        <v>200</v>
      </c>
      <c r="BE270" t="s">
        <v>229</v>
      </c>
      <c r="BF270" t="s">
        <v>197</v>
      </c>
      <c r="BG270" t="s">
        <v>230</v>
      </c>
      <c r="BH270" t="s">
        <v>263</v>
      </c>
      <c r="BJ270" t="s">
        <v>205</v>
      </c>
      <c r="BK270" t="s">
        <v>206</v>
      </c>
      <c r="BL270" t="s">
        <v>194</v>
      </c>
      <c r="BO270" t="s">
        <v>200</v>
      </c>
      <c r="BP270" t="s">
        <v>200</v>
      </c>
      <c r="BQ270" t="s">
        <v>280</v>
      </c>
      <c r="BR270" t="s">
        <v>232</v>
      </c>
      <c r="BT270" t="s">
        <v>197</v>
      </c>
      <c r="BV270" t="s">
        <v>233</v>
      </c>
      <c r="CA270" t="s">
        <v>194</v>
      </c>
      <c r="CB270" t="s">
        <v>214</v>
      </c>
      <c r="CF270" t="s">
        <v>215</v>
      </c>
      <c r="CH270" t="s">
        <v>214</v>
      </c>
      <c r="CI270" t="s">
        <v>214</v>
      </c>
      <c r="CJ270" t="s">
        <v>214</v>
      </c>
      <c r="CP270" t="s">
        <v>214</v>
      </c>
      <c r="CS270" t="s">
        <v>216</v>
      </c>
      <c r="CV270" t="s">
        <v>214</v>
      </c>
      <c r="CW270" t="s">
        <v>214</v>
      </c>
      <c r="CX270" t="s">
        <v>217</v>
      </c>
      <c r="CY270" t="s">
        <v>214</v>
      </c>
      <c r="DA270" t="s">
        <v>218</v>
      </c>
    </row>
    <row r="271" spans="1:172" x14ac:dyDescent="0.3">
      <c r="A271">
        <v>13752322</v>
      </c>
      <c r="B271">
        <v>9112334</v>
      </c>
      <c r="C271" t="str">
        <f>"130607500386"</f>
        <v>130607500386</v>
      </c>
      <c r="D271" t="s">
        <v>926</v>
      </c>
      <c r="E271" t="s">
        <v>412</v>
      </c>
      <c r="F271" t="s">
        <v>927</v>
      </c>
      <c r="G271" s="1">
        <v>41432</v>
      </c>
      <c r="I271" t="s">
        <v>187</v>
      </c>
      <c r="J271" t="s">
        <v>188</v>
      </c>
      <c r="K271" t="s">
        <v>189</v>
      </c>
      <c r="Y271" t="str">
        <f t="shared" si="12"/>
        <v>2019-09-02T00:00:00</v>
      </c>
      <c r="Z271" t="str">
        <f t="shared" si="13"/>
        <v>37</v>
      </c>
      <c r="AA271" t="s">
        <v>190</v>
      </c>
      <c r="AC271" t="s">
        <v>191</v>
      </c>
      <c r="AD271" t="s">
        <v>815</v>
      </c>
      <c r="AE271" t="s">
        <v>227</v>
      </c>
      <c r="AF271" t="s">
        <v>194</v>
      </c>
      <c r="AH271" t="s">
        <v>195</v>
      </c>
      <c r="AI271">
        <v>3</v>
      </c>
      <c r="AJ271" t="s">
        <v>196</v>
      </c>
      <c r="AK271" t="s">
        <v>194</v>
      </c>
      <c r="AL271" t="s">
        <v>197</v>
      </c>
      <c r="AM271" t="s">
        <v>228</v>
      </c>
      <c r="AR271" t="s">
        <v>194</v>
      </c>
      <c r="AS271" t="s">
        <v>199</v>
      </c>
      <c r="AU271" t="s">
        <v>197</v>
      </c>
      <c r="AZ271" t="s">
        <v>194</v>
      </c>
      <c r="BA271" t="s">
        <v>200</v>
      </c>
      <c r="BB271" t="s">
        <v>201</v>
      </c>
      <c r="BC271" t="s">
        <v>317</v>
      </c>
      <c r="BD271" t="s">
        <v>200</v>
      </c>
      <c r="BE271" t="s">
        <v>202</v>
      </c>
      <c r="BF271" t="s">
        <v>197</v>
      </c>
      <c r="BG271" t="s">
        <v>230</v>
      </c>
      <c r="BH271" t="s">
        <v>420</v>
      </c>
      <c r="BJ271" t="s">
        <v>205</v>
      </c>
      <c r="BK271" t="s">
        <v>206</v>
      </c>
      <c r="BL271" t="s">
        <v>194</v>
      </c>
      <c r="BO271" t="s">
        <v>200</v>
      </c>
      <c r="BP271" t="s">
        <v>200</v>
      </c>
      <c r="BQ271" t="s">
        <v>280</v>
      </c>
      <c r="BR271" t="s">
        <v>232</v>
      </c>
      <c r="BT271" t="s">
        <v>197</v>
      </c>
      <c r="BV271" t="s">
        <v>233</v>
      </c>
      <c r="CA271" t="s">
        <v>194</v>
      </c>
      <c r="CB271" t="s">
        <v>214</v>
      </c>
      <c r="CF271" t="s">
        <v>215</v>
      </c>
      <c r="CH271" t="s">
        <v>214</v>
      </c>
      <c r="CI271" t="s">
        <v>214</v>
      </c>
      <c r="CJ271" t="s">
        <v>214</v>
      </c>
      <c r="CP271" t="s">
        <v>214</v>
      </c>
      <c r="CS271" t="s">
        <v>216</v>
      </c>
      <c r="CV271" t="s">
        <v>214</v>
      </c>
      <c r="CW271" t="s">
        <v>214</v>
      </c>
      <c r="CX271" t="s">
        <v>217</v>
      </c>
      <c r="CY271" t="s">
        <v>214</v>
      </c>
      <c r="DA271" t="s">
        <v>218</v>
      </c>
    </row>
    <row r="272" spans="1:172" x14ac:dyDescent="0.3">
      <c r="A272">
        <v>13752562</v>
      </c>
      <c r="B272">
        <v>6496515</v>
      </c>
      <c r="C272" t="str">
        <f>"131222601886"</f>
        <v>131222601886</v>
      </c>
      <c r="D272" t="s">
        <v>928</v>
      </c>
      <c r="E272" t="s">
        <v>929</v>
      </c>
      <c r="F272" t="s">
        <v>399</v>
      </c>
      <c r="G272" s="1">
        <v>41630</v>
      </c>
      <c r="I272" t="s">
        <v>222</v>
      </c>
      <c r="J272" t="s">
        <v>188</v>
      </c>
      <c r="K272" t="s">
        <v>223</v>
      </c>
      <c r="Y272" t="str">
        <f t="shared" si="12"/>
        <v>2019-09-02T00:00:00</v>
      </c>
      <c r="Z272" t="str">
        <f t="shared" si="13"/>
        <v>37</v>
      </c>
      <c r="AA272" t="s">
        <v>224</v>
      </c>
      <c r="AC272" t="s">
        <v>191</v>
      </c>
      <c r="AD272" t="s">
        <v>815</v>
      </c>
      <c r="AE272" t="s">
        <v>227</v>
      </c>
      <c r="AF272" t="s">
        <v>194</v>
      </c>
      <c r="AH272" t="s">
        <v>195</v>
      </c>
      <c r="AI272">
        <v>3</v>
      </c>
      <c r="AJ272" t="s">
        <v>196</v>
      </c>
      <c r="AK272" t="s">
        <v>194</v>
      </c>
      <c r="AL272" t="s">
        <v>197</v>
      </c>
      <c r="AM272" t="s">
        <v>228</v>
      </c>
      <c r="AR272" t="s">
        <v>194</v>
      </c>
      <c r="AS272" t="s">
        <v>199</v>
      </c>
      <c r="AU272" t="s">
        <v>197</v>
      </c>
      <c r="AZ272" t="s">
        <v>194</v>
      </c>
      <c r="BA272" t="s">
        <v>200</v>
      </c>
      <c r="BB272" t="s">
        <v>201</v>
      </c>
      <c r="BD272" t="s">
        <v>200</v>
      </c>
      <c r="BE272" t="s">
        <v>229</v>
      </c>
      <c r="BF272" t="s">
        <v>197</v>
      </c>
      <c r="BG272" t="s">
        <v>230</v>
      </c>
      <c r="BH272" t="s">
        <v>307</v>
      </c>
      <c r="BJ272" t="s">
        <v>205</v>
      </c>
      <c r="BK272" t="s">
        <v>206</v>
      </c>
      <c r="BL272" t="s">
        <v>194</v>
      </c>
      <c r="BO272" t="s">
        <v>200</v>
      </c>
      <c r="BP272" t="s">
        <v>200</v>
      </c>
      <c r="BQ272" t="s">
        <v>280</v>
      </c>
      <c r="BR272" t="s">
        <v>232</v>
      </c>
      <c r="BT272" t="s">
        <v>197</v>
      </c>
      <c r="BV272" t="s">
        <v>233</v>
      </c>
      <c r="CA272" t="s">
        <v>194</v>
      </c>
      <c r="CB272" t="s">
        <v>214</v>
      </c>
      <c r="CF272" t="s">
        <v>215</v>
      </c>
      <c r="CH272" t="s">
        <v>214</v>
      </c>
      <c r="CI272" t="s">
        <v>214</v>
      </c>
      <c r="CJ272" t="s">
        <v>214</v>
      </c>
      <c r="CP272" t="s">
        <v>214</v>
      </c>
      <c r="CS272" t="s">
        <v>216</v>
      </c>
      <c r="CV272" t="s">
        <v>214</v>
      </c>
      <c r="CW272" t="s">
        <v>214</v>
      </c>
      <c r="CX272" t="s">
        <v>217</v>
      </c>
      <c r="CY272" t="s">
        <v>214</v>
      </c>
      <c r="DA272" t="s">
        <v>218</v>
      </c>
    </row>
    <row r="273" spans="1:105" x14ac:dyDescent="0.3">
      <c r="A273">
        <v>13755873</v>
      </c>
      <c r="B273">
        <v>2707032</v>
      </c>
      <c r="C273" t="str">
        <f>"080619650628"</f>
        <v>080619650628</v>
      </c>
      <c r="D273" t="s">
        <v>930</v>
      </c>
      <c r="E273" t="s">
        <v>630</v>
      </c>
      <c r="F273" t="s">
        <v>931</v>
      </c>
      <c r="G273" s="1">
        <v>39618</v>
      </c>
      <c r="I273" t="s">
        <v>222</v>
      </c>
      <c r="J273" t="s">
        <v>188</v>
      </c>
      <c r="K273" t="s">
        <v>189</v>
      </c>
      <c r="Y273" t="str">
        <f>"2019-08-29T00:00:00"</f>
        <v>2019-08-29T00:00:00</v>
      </c>
      <c r="Z273" t="str">
        <f>"32"</f>
        <v>32</v>
      </c>
      <c r="AA273" t="s">
        <v>835</v>
      </c>
      <c r="AC273" t="s">
        <v>225</v>
      </c>
      <c r="AD273" t="s">
        <v>226</v>
      </c>
      <c r="AE273" t="s">
        <v>227</v>
      </c>
      <c r="AF273" t="s">
        <v>194</v>
      </c>
      <c r="AH273" t="s">
        <v>195</v>
      </c>
      <c r="AI273">
        <v>3</v>
      </c>
      <c r="AJ273" t="s">
        <v>196</v>
      </c>
      <c r="AK273" t="s">
        <v>194</v>
      </c>
      <c r="AL273" t="s">
        <v>197</v>
      </c>
      <c r="AM273" t="s">
        <v>228</v>
      </c>
      <c r="AR273" t="s">
        <v>194</v>
      </c>
      <c r="AS273" t="s">
        <v>199</v>
      </c>
      <c r="AU273" t="s">
        <v>197</v>
      </c>
      <c r="AZ273" t="s">
        <v>194</v>
      </c>
      <c r="BA273" t="s">
        <v>200</v>
      </c>
      <c r="BB273" t="s">
        <v>201</v>
      </c>
      <c r="BD273" t="s">
        <v>200</v>
      </c>
      <c r="BE273" t="s">
        <v>202</v>
      </c>
      <c r="BF273" t="s">
        <v>197</v>
      </c>
      <c r="BG273" t="s">
        <v>230</v>
      </c>
      <c r="BH273" t="s">
        <v>400</v>
      </c>
      <c r="BJ273" t="s">
        <v>205</v>
      </c>
      <c r="BK273" t="s">
        <v>206</v>
      </c>
      <c r="BL273" t="s">
        <v>194</v>
      </c>
      <c r="BO273" t="s">
        <v>216</v>
      </c>
      <c r="BP273" t="s">
        <v>216</v>
      </c>
      <c r="BR273" t="s">
        <v>232</v>
      </c>
      <c r="BT273" t="s">
        <v>197</v>
      </c>
      <c r="BV273" t="s">
        <v>233</v>
      </c>
      <c r="CA273" t="s">
        <v>194</v>
      </c>
      <c r="CB273" t="s">
        <v>214</v>
      </c>
      <c r="CF273" t="s">
        <v>215</v>
      </c>
      <c r="CH273" t="s">
        <v>214</v>
      </c>
      <c r="CI273" t="s">
        <v>214</v>
      </c>
      <c r="CJ273" t="s">
        <v>214</v>
      </c>
      <c r="CP273" t="s">
        <v>214</v>
      </c>
      <c r="CS273" t="s">
        <v>216</v>
      </c>
      <c r="CV273" t="s">
        <v>214</v>
      </c>
      <c r="CW273" t="s">
        <v>214</v>
      </c>
      <c r="CX273" t="s">
        <v>217</v>
      </c>
      <c r="CY273" t="s">
        <v>214</v>
      </c>
      <c r="DA273" t="s">
        <v>218</v>
      </c>
    </row>
    <row r="274" spans="1:105" x14ac:dyDescent="0.3">
      <c r="A274">
        <v>13757825</v>
      </c>
      <c r="B274">
        <v>6410376</v>
      </c>
      <c r="C274" t="str">
        <f>"120114501293"</f>
        <v>120114501293</v>
      </c>
      <c r="D274" t="s">
        <v>932</v>
      </c>
      <c r="E274" t="s">
        <v>933</v>
      </c>
      <c r="F274" t="s">
        <v>934</v>
      </c>
      <c r="G274" s="1">
        <v>40922</v>
      </c>
      <c r="I274" t="s">
        <v>187</v>
      </c>
      <c r="J274" t="s">
        <v>188</v>
      </c>
      <c r="K274" t="s">
        <v>189</v>
      </c>
      <c r="Y274" t="str">
        <f>"2019-08-29T00:00:00"</f>
        <v>2019-08-29T00:00:00</v>
      </c>
      <c r="Z274" t="str">
        <f>"32"</f>
        <v>32</v>
      </c>
      <c r="AA274" t="s">
        <v>190</v>
      </c>
      <c r="AC274" t="s">
        <v>191</v>
      </c>
      <c r="AD274" t="s">
        <v>285</v>
      </c>
      <c r="AE274" t="s">
        <v>227</v>
      </c>
      <c r="AF274" t="s">
        <v>194</v>
      </c>
      <c r="AH274" t="s">
        <v>195</v>
      </c>
      <c r="AI274">
        <v>2</v>
      </c>
      <c r="AJ274" t="s">
        <v>196</v>
      </c>
      <c r="AK274" t="s">
        <v>194</v>
      </c>
      <c r="AL274" t="s">
        <v>197</v>
      </c>
      <c r="AM274" t="s">
        <v>228</v>
      </c>
      <c r="AR274" t="s">
        <v>194</v>
      </c>
      <c r="AS274" t="s">
        <v>199</v>
      </c>
      <c r="AU274" t="s">
        <v>197</v>
      </c>
      <c r="AZ274" t="s">
        <v>194</v>
      </c>
      <c r="BA274" t="s">
        <v>200</v>
      </c>
      <c r="BB274" t="s">
        <v>201</v>
      </c>
      <c r="BD274" t="s">
        <v>200</v>
      </c>
      <c r="BE274" t="s">
        <v>229</v>
      </c>
      <c r="BF274" t="s">
        <v>197</v>
      </c>
      <c r="BG274" t="s">
        <v>269</v>
      </c>
      <c r="BH274" t="s">
        <v>270</v>
      </c>
      <c r="BJ274" t="s">
        <v>205</v>
      </c>
      <c r="BK274" t="s">
        <v>206</v>
      </c>
      <c r="BL274" t="s">
        <v>194</v>
      </c>
      <c r="BO274" t="s">
        <v>216</v>
      </c>
      <c r="BP274" t="s">
        <v>216</v>
      </c>
      <c r="BQ274" t="s">
        <v>280</v>
      </c>
      <c r="BR274" t="s">
        <v>232</v>
      </c>
      <c r="BT274" t="s">
        <v>197</v>
      </c>
      <c r="BV274" t="s">
        <v>233</v>
      </c>
      <c r="CA274" t="s">
        <v>194</v>
      </c>
      <c r="CB274" t="s">
        <v>214</v>
      </c>
      <c r="CF274" t="s">
        <v>215</v>
      </c>
      <c r="CH274" t="s">
        <v>214</v>
      </c>
      <c r="CI274" t="s">
        <v>214</v>
      </c>
      <c r="CJ274" t="s">
        <v>214</v>
      </c>
      <c r="CP274" t="s">
        <v>214</v>
      </c>
      <c r="CS274" t="s">
        <v>216</v>
      </c>
      <c r="CV274" t="s">
        <v>214</v>
      </c>
      <c r="CW274" t="s">
        <v>214</v>
      </c>
      <c r="CX274" t="s">
        <v>217</v>
      </c>
      <c r="CY274" t="s">
        <v>214</v>
      </c>
      <c r="DA274" t="s">
        <v>218</v>
      </c>
    </row>
    <row r="275" spans="1:105" x14ac:dyDescent="0.3">
      <c r="A275">
        <v>13760899</v>
      </c>
      <c r="B275">
        <v>955999</v>
      </c>
      <c r="C275" t="str">
        <f>"130326601640"</f>
        <v>130326601640</v>
      </c>
      <c r="D275" t="s">
        <v>935</v>
      </c>
      <c r="E275" t="s">
        <v>936</v>
      </c>
      <c r="F275" t="s">
        <v>259</v>
      </c>
      <c r="G275" s="1">
        <v>41359</v>
      </c>
      <c r="I275" t="s">
        <v>222</v>
      </c>
      <c r="J275" t="s">
        <v>188</v>
      </c>
      <c r="K275" t="s">
        <v>223</v>
      </c>
      <c r="Y275" t="str">
        <f>"2019-06-21T00:00:00"</f>
        <v>2019-06-21T00:00:00</v>
      </c>
      <c r="Z275" t="str">
        <f>"27"</f>
        <v>27</v>
      </c>
      <c r="AA275" t="s">
        <v>224</v>
      </c>
      <c r="AC275" t="s">
        <v>225</v>
      </c>
      <c r="AD275" t="s">
        <v>615</v>
      </c>
      <c r="AE275" t="s">
        <v>243</v>
      </c>
      <c r="AF275" t="s">
        <v>194</v>
      </c>
      <c r="AH275" t="s">
        <v>195</v>
      </c>
      <c r="AI275">
        <v>1</v>
      </c>
      <c r="AJ275" t="s">
        <v>196</v>
      </c>
      <c r="AK275" t="s">
        <v>194</v>
      </c>
      <c r="AL275" t="s">
        <v>197</v>
      </c>
      <c r="AM275" t="s">
        <v>198</v>
      </c>
      <c r="AR275" t="s">
        <v>214</v>
      </c>
      <c r="AU275" t="s">
        <v>197</v>
      </c>
      <c r="AZ275" t="s">
        <v>194</v>
      </c>
      <c r="BA275" t="s">
        <v>200</v>
      </c>
      <c r="BB275" t="s">
        <v>201</v>
      </c>
      <c r="BD275" t="s">
        <v>200</v>
      </c>
      <c r="BE275" t="s">
        <v>244</v>
      </c>
      <c r="BF275" t="s">
        <v>197</v>
      </c>
      <c r="BG275" t="s">
        <v>238</v>
      </c>
      <c r="BH275">
        <v>5</v>
      </c>
      <c r="BJ275" t="s">
        <v>205</v>
      </c>
      <c r="BK275" t="s">
        <v>206</v>
      </c>
      <c r="BL275" t="s">
        <v>194</v>
      </c>
      <c r="BO275" t="s">
        <v>216</v>
      </c>
      <c r="BP275" t="s">
        <v>216</v>
      </c>
      <c r="BQ275" s="3">
        <v>45566</v>
      </c>
      <c r="BR275" t="s">
        <v>232</v>
      </c>
      <c r="BT275" t="s">
        <v>197</v>
      </c>
      <c r="BV275" t="s">
        <v>233</v>
      </c>
      <c r="CA275" t="s">
        <v>194</v>
      </c>
      <c r="CB275" t="s">
        <v>194</v>
      </c>
      <c r="CC275" t="s">
        <v>264</v>
      </c>
      <c r="CD275" t="s">
        <v>265</v>
      </c>
      <c r="CE275" t="s">
        <v>266</v>
      </c>
      <c r="CF275" t="s">
        <v>215</v>
      </c>
      <c r="CH275" t="s">
        <v>214</v>
      </c>
      <c r="CI275" t="s">
        <v>214</v>
      </c>
      <c r="CJ275" t="s">
        <v>214</v>
      </c>
      <c r="CP275" t="s">
        <v>214</v>
      </c>
      <c r="CS275" t="s">
        <v>216</v>
      </c>
      <c r="CV275" t="s">
        <v>214</v>
      </c>
      <c r="CW275" t="s">
        <v>214</v>
      </c>
      <c r="CX275" t="s">
        <v>217</v>
      </c>
      <c r="CY275" t="s">
        <v>214</v>
      </c>
      <c r="DA275" t="s">
        <v>218</v>
      </c>
    </row>
    <row r="276" spans="1:105" x14ac:dyDescent="0.3">
      <c r="A276">
        <v>13761307</v>
      </c>
      <c r="B276">
        <v>9115252</v>
      </c>
      <c r="C276" t="str">
        <f>"130521504699"</f>
        <v>130521504699</v>
      </c>
      <c r="D276" t="s">
        <v>937</v>
      </c>
      <c r="E276" t="s">
        <v>938</v>
      </c>
      <c r="F276" t="s">
        <v>720</v>
      </c>
      <c r="G276" s="1">
        <v>41415</v>
      </c>
      <c r="I276" t="s">
        <v>187</v>
      </c>
      <c r="J276" t="s">
        <v>188</v>
      </c>
      <c r="K276" t="s">
        <v>223</v>
      </c>
      <c r="Y276" t="str">
        <f>"2019-06-25T00:00:00"</f>
        <v>2019-06-25T00:00:00</v>
      </c>
      <c r="Z276" t="str">
        <f>"28"</f>
        <v>28</v>
      </c>
      <c r="AA276" t="s">
        <v>224</v>
      </c>
      <c r="AC276" t="s">
        <v>191</v>
      </c>
      <c r="AD276" t="s">
        <v>615</v>
      </c>
      <c r="AE276" t="s">
        <v>243</v>
      </c>
      <c r="AF276" t="s">
        <v>194</v>
      </c>
      <c r="AH276" t="s">
        <v>195</v>
      </c>
      <c r="AI276">
        <v>1</v>
      </c>
      <c r="AJ276" t="s">
        <v>196</v>
      </c>
      <c r="AK276" t="s">
        <v>194</v>
      </c>
      <c r="AL276" t="s">
        <v>197</v>
      </c>
      <c r="AM276" t="s">
        <v>198</v>
      </c>
      <c r="AR276" t="s">
        <v>194</v>
      </c>
      <c r="AS276" t="s">
        <v>199</v>
      </c>
      <c r="AU276" t="s">
        <v>197</v>
      </c>
      <c r="AZ276" t="s">
        <v>194</v>
      </c>
      <c r="BA276" t="s">
        <v>200</v>
      </c>
      <c r="BB276" t="s">
        <v>201</v>
      </c>
      <c r="BD276" t="s">
        <v>200</v>
      </c>
      <c r="BE276" t="s">
        <v>202</v>
      </c>
      <c r="BF276" t="s">
        <v>197</v>
      </c>
      <c r="BG276" t="s">
        <v>230</v>
      </c>
      <c r="BH276" t="s">
        <v>420</v>
      </c>
      <c r="BJ276" t="s">
        <v>205</v>
      </c>
      <c r="BK276" t="s">
        <v>206</v>
      </c>
      <c r="BL276" t="s">
        <v>194</v>
      </c>
      <c r="BO276" t="s">
        <v>200</v>
      </c>
      <c r="BP276" t="s">
        <v>200</v>
      </c>
      <c r="BQ276" s="3">
        <v>45566</v>
      </c>
      <c r="BR276" t="s">
        <v>232</v>
      </c>
      <c r="BT276" t="s">
        <v>197</v>
      </c>
      <c r="BV276" t="s">
        <v>233</v>
      </c>
      <c r="CA276" t="s">
        <v>194</v>
      </c>
      <c r="CB276" t="s">
        <v>194</v>
      </c>
      <c r="CC276" t="s">
        <v>264</v>
      </c>
      <c r="CD276" t="s">
        <v>265</v>
      </c>
      <c r="CE276" t="s">
        <v>266</v>
      </c>
      <c r="CF276" t="s">
        <v>215</v>
      </c>
      <c r="CH276" t="s">
        <v>214</v>
      </c>
      <c r="CI276" t="s">
        <v>214</v>
      </c>
      <c r="CJ276" t="s">
        <v>214</v>
      </c>
      <c r="CP276" t="s">
        <v>214</v>
      </c>
      <c r="CS276" t="s">
        <v>216</v>
      </c>
      <c r="CV276" t="s">
        <v>214</v>
      </c>
      <c r="CW276" t="s">
        <v>214</v>
      </c>
      <c r="CX276" t="s">
        <v>217</v>
      </c>
      <c r="CY276" t="s">
        <v>214</v>
      </c>
      <c r="DA276" t="s">
        <v>218</v>
      </c>
    </row>
    <row r="277" spans="1:105" x14ac:dyDescent="0.3">
      <c r="A277">
        <v>13761723</v>
      </c>
      <c r="B277">
        <v>9115384</v>
      </c>
      <c r="C277" t="str">
        <f>"130606602264"</f>
        <v>130606602264</v>
      </c>
      <c r="D277" t="s">
        <v>939</v>
      </c>
      <c r="E277" t="s">
        <v>667</v>
      </c>
      <c r="F277" t="s">
        <v>358</v>
      </c>
      <c r="G277" s="1">
        <v>41431</v>
      </c>
      <c r="I277" t="s">
        <v>222</v>
      </c>
      <c r="J277" t="s">
        <v>188</v>
      </c>
      <c r="K277" t="s">
        <v>223</v>
      </c>
      <c r="Y277" t="str">
        <f>"2019-08-21T00:00:00"</f>
        <v>2019-08-21T00:00:00</v>
      </c>
      <c r="Z277" t="str">
        <f>"31"</f>
        <v>31</v>
      </c>
      <c r="AA277" t="s">
        <v>190</v>
      </c>
      <c r="AB277" t="str">
        <f>"akm_arshalu_novoaleksandrovka@mail.ru"</f>
        <v>akm_arshalu_novoaleksandrovka@mail.ru</v>
      </c>
      <c r="AC277" t="s">
        <v>191</v>
      </c>
      <c r="AD277" t="s">
        <v>615</v>
      </c>
      <c r="AE277" t="s">
        <v>243</v>
      </c>
      <c r="AF277" t="s">
        <v>194</v>
      </c>
      <c r="AH277" t="s">
        <v>195</v>
      </c>
      <c r="AI277">
        <v>1</v>
      </c>
      <c r="AJ277" t="s">
        <v>196</v>
      </c>
      <c r="AK277" t="s">
        <v>194</v>
      </c>
      <c r="AL277" t="s">
        <v>197</v>
      </c>
      <c r="AM277" t="s">
        <v>198</v>
      </c>
      <c r="AQ277" t="str">
        <f>"2020-11-04T09:05:51"</f>
        <v>2020-11-04T09:05:51</v>
      </c>
      <c r="AR277" t="s">
        <v>194</v>
      </c>
      <c r="AS277" t="s">
        <v>199</v>
      </c>
      <c r="AU277" t="s">
        <v>197</v>
      </c>
      <c r="AZ277" t="s">
        <v>194</v>
      </c>
      <c r="BA277" t="s">
        <v>200</v>
      </c>
      <c r="BB277" t="s">
        <v>201</v>
      </c>
      <c r="BC277" t="s">
        <v>317</v>
      </c>
      <c r="BD277" t="s">
        <v>200</v>
      </c>
      <c r="BE277" t="s">
        <v>244</v>
      </c>
      <c r="BF277" t="s">
        <v>197</v>
      </c>
      <c r="BG277" t="s">
        <v>238</v>
      </c>
      <c r="BH277">
        <v>5</v>
      </c>
      <c r="BJ277" t="s">
        <v>205</v>
      </c>
      <c r="BK277" t="s">
        <v>206</v>
      </c>
      <c r="BL277" t="s">
        <v>194</v>
      </c>
      <c r="BO277" t="s">
        <v>200</v>
      </c>
      <c r="BP277" t="s">
        <v>200</v>
      </c>
      <c r="BQ277" s="3">
        <v>45566</v>
      </c>
      <c r="BR277" t="s">
        <v>232</v>
      </c>
      <c r="BT277" t="s">
        <v>197</v>
      </c>
      <c r="BV277" t="s">
        <v>233</v>
      </c>
      <c r="CA277" t="s">
        <v>194</v>
      </c>
      <c r="CB277" t="s">
        <v>214</v>
      </c>
      <c r="CF277" t="s">
        <v>215</v>
      </c>
      <c r="CH277" t="s">
        <v>214</v>
      </c>
      <c r="CI277" t="s">
        <v>214</v>
      </c>
      <c r="CJ277" t="s">
        <v>214</v>
      </c>
      <c r="CP277" t="s">
        <v>214</v>
      </c>
      <c r="CS277" t="s">
        <v>216</v>
      </c>
      <c r="CV277" t="s">
        <v>214</v>
      </c>
      <c r="CW277" t="s">
        <v>214</v>
      </c>
      <c r="CX277" t="s">
        <v>217</v>
      </c>
      <c r="CY277" t="s">
        <v>214</v>
      </c>
      <c r="DA277" t="s">
        <v>218</v>
      </c>
    </row>
    <row r="278" spans="1:105" x14ac:dyDescent="0.3">
      <c r="A278">
        <v>1230046</v>
      </c>
      <c r="B278">
        <v>934208</v>
      </c>
      <c r="C278" t="str">
        <f>"110713601968"</f>
        <v>110713601968</v>
      </c>
      <c r="D278" t="s">
        <v>940</v>
      </c>
      <c r="E278" t="s">
        <v>639</v>
      </c>
      <c r="F278" t="s">
        <v>485</v>
      </c>
      <c r="G278" s="1">
        <v>40737</v>
      </c>
      <c r="I278" t="s">
        <v>222</v>
      </c>
      <c r="J278" t="s">
        <v>188</v>
      </c>
      <c r="K278" t="s">
        <v>223</v>
      </c>
      <c r="Y278" t="str">
        <f>"2016-09-01T00:00:00"</f>
        <v>2016-09-01T00:00:00</v>
      </c>
      <c r="Z278" t="str">
        <f>"№45"</f>
        <v>№45</v>
      </c>
      <c r="AA278" t="s">
        <v>314</v>
      </c>
      <c r="AC278" t="s">
        <v>237</v>
      </c>
      <c r="AD278" t="s">
        <v>261</v>
      </c>
      <c r="AE278" t="s">
        <v>227</v>
      </c>
      <c r="AF278" t="s">
        <v>194</v>
      </c>
      <c r="AH278" t="s">
        <v>195</v>
      </c>
      <c r="AI278">
        <v>2</v>
      </c>
      <c r="AJ278" t="s">
        <v>196</v>
      </c>
      <c r="AK278" t="s">
        <v>194</v>
      </c>
      <c r="AL278" t="s">
        <v>197</v>
      </c>
      <c r="AM278" t="s">
        <v>228</v>
      </c>
      <c r="AR278" t="s">
        <v>194</v>
      </c>
      <c r="AS278" t="s">
        <v>199</v>
      </c>
      <c r="AU278" t="s">
        <v>197</v>
      </c>
      <c r="AZ278" t="s">
        <v>194</v>
      </c>
      <c r="BA278" t="s">
        <v>200</v>
      </c>
      <c r="BB278" t="s">
        <v>201</v>
      </c>
      <c r="BD278" t="s">
        <v>200</v>
      </c>
      <c r="BE278" t="s">
        <v>202</v>
      </c>
      <c r="BF278" t="s">
        <v>197</v>
      </c>
      <c r="BG278" t="s">
        <v>230</v>
      </c>
      <c r="BH278" t="s">
        <v>420</v>
      </c>
      <c r="BJ278" t="s">
        <v>205</v>
      </c>
      <c r="BK278" t="s">
        <v>206</v>
      </c>
      <c r="BL278" t="s">
        <v>194</v>
      </c>
      <c r="BO278" t="s">
        <v>200</v>
      </c>
      <c r="BP278" t="s">
        <v>200</v>
      </c>
      <c r="BR278" t="s">
        <v>232</v>
      </c>
      <c r="BT278" t="s">
        <v>197</v>
      </c>
      <c r="BV278" t="s">
        <v>233</v>
      </c>
      <c r="CA278" t="s">
        <v>194</v>
      </c>
      <c r="CB278" t="s">
        <v>214</v>
      </c>
      <c r="CF278" t="s">
        <v>215</v>
      </c>
      <c r="CH278" t="s">
        <v>214</v>
      </c>
      <c r="CI278" t="s">
        <v>214</v>
      </c>
      <c r="CJ278" t="s">
        <v>214</v>
      </c>
      <c r="CP278" t="s">
        <v>214</v>
      </c>
      <c r="CS278" t="s">
        <v>216</v>
      </c>
      <c r="CV278" t="s">
        <v>214</v>
      </c>
      <c r="CW278" t="s">
        <v>214</v>
      </c>
      <c r="CX278" t="s">
        <v>217</v>
      </c>
      <c r="CY278" t="s">
        <v>214</v>
      </c>
      <c r="DA278" t="s">
        <v>218</v>
      </c>
    </row>
    <row r="279" spans="1:105" x14ac:dyDescent="0.3">
      <c r="A279">
        <v>1230265</v>
      </c>
      <c r="B279">
        <v>934329</v>
      </c>
      <c r="C279" t="str">
        <f>"120501503045"</f>
        <v>120501503045</v>
      </c>
      <c r="D279" t="s">
        <v>941</v>
      </c>
      <c r="E279" t="s">
        <v>942</v>
      </c>
      <c r="F279" t="s">
        <v>943</v>
      </c>
      <c r="G279" s="1">
        <v>41030</v>
      </c>
      <c r="I279" t="s">
        <v>187</v>
      </c>
      <c r="J279" t="s">
        <v>188</v>
      </c>
      <c r="K279" t="s">
        <v>189</v>
      </c>
      <c r="Y279" t="str">
        <f>"2018-08-27T00:00:00"</f>
        <v>2018-08-27T00:00:00</v>
      </c>
      <c r="Z279" t="str">
        <f>"№21"</f>
        <v>№21</v>
      </c>
      <c r="AA279" t="s">
        <v>224</v>
      </c>
      <c r="AC279" t="s">
        <v>237</v>
      </c>
      <c r="AD279" t="s">
        <v>285</v>
      </c>
      <c r="AE279" t="s">
        <v>227</v>
      </c>
      <c r="AF279" t="s">
        <v>194</v>
      </c>
      <c r="AH279" t="s">
        <v>195</v>
      </c>
      <c r="AI279">
        <v>1</v>
      </c>
      <c r="AJ279" t="s">
        <v>196</v>
      </c>
      <c r="AK279" t="s">
        <v>194</v>
      </c>
      <c r="AL279" t="s">
        <v>197</v>
      </c>
      <c r="AM279" t="s">
        <v>228</v>
      </c>
      <c r="AR279" t="s">
        <v>194</v>
      </c>
      <c r="AS279" t="s">
        <v>199</v>
      </c>
      <c r="AU279" t="s">
        <v>197</v>
      </c>
      <c r="AZ279" t="s">
        <v>194</v>
      </c>
      <c r="BA279" t="s">
        <v>200</v>
      </c>
      <c r="BB279" t="s">
        <v>201</v>
      </c>
      <c r="BD279" t="s">
        <v>200</v>
      </c>
      <c r="BE279" t="s">
        <v>229</v>
      </c>
      <c r="BF279" t="s">
        <v>197</v>
      </c>
      <c r="BG279" t="s">
        <v>238</v>
      </c>
      <c r="BH279">
        <v>4</v>
      </c>
      <c r="BJ279" t="s">
        <v>205</v>
      </c>
      <c r="BK279" t="s">
        <v>206</v>
      </c>
      <c r="BL279" t="s">
        <v>194</v>
      </c>
      <c r="BO279" t="s">
        <v>200</v>
      </c>
      <c r="BP279" t="s">
        <v>200</v>
      </c>
      <c r="BQ279" t="s">
        <v>286</v>
      </c>
      <c r="BR279" t="s">
        <v>232</v>
      </c>
      <c r="BT279" t="s">
        <v>197</v>
      </c>
      <c r="BV279" t="s">
        <v>415</v>
      </c>
      <c r="BW279" t="s">
        <v>416</v>
      </c>
      <c r="BX279" t="s">
        <v>211</v>
      </c>
      <c r="BY279" t="s">
        <v>534</v>
      </c>
      <c r="BZ279" t="s">
        <v>572</v>
      </c>
      <c r="CA279" t="s">
        <v>194</v>
      </c>
      <c r="CB279" t="s">
        <v>194</v>
      </c>
      <c r="CC279" t="s">
        <v>264</v>
      </c>
      <c r="CD279" t="s">
        <v>265</v>
      </c>
      <c r="CE279" t="s">
        <v>266</v>
      </c>
      <c r="CF279" t="s">
        <v>215</v>
      </c>
      <c r="CH279" t="s">
        <v>214</v>
      </c>
      <c r="CI279" t="s">
        <v>214</v>
      </c>
      <c r="CJ279" t="s">
        <v>214</v>
      </c>
      <c r="CP279" t="s">
        <v>214</v>
      </c>
      <c r="CS279" t="s">
        <v>216</v>
      </c>
      <c r="CV279" t="s">
        <v>214</v>
      </c>
      <c r="CW279" t="s">
        <v>214</v>
      </c>
      <c r="CX279" t="s">
        <v>217</v>
      </c>
      <c r="CY279" t="s">
        <v>214</v>
      </c>
      <c r="DA279" t="s">
        <v>218</v>
      </c>
    </row>
    <row r="280" spans="1:105" x14ac:dyDescent="0.3">
      <c r="A280">
        <v>1230278</v>
      </c>
      <c r="B280">
        <v>934341</v>
      </c>
      <c r="C280" t="str">
        <f>"101126604229"</f>
        <v>101126604229</v>
      </c>
      <c r="D280" t="s">
        <v>944</v>
      </c>
      <c r="E280" t="s">
        <v>431</v>
      </c>
      <c r="F280" t="s">
        <v>379</v>
      </c>
      <c r="G280" s="1">
        <v>40508</v>
      </c>
      <c r="I280" t="s">
        <v>222</v>
      </c>
      <c r="J280" t="s">
        <v>188</v>
      </c>
      <c r="K280" t="s">
        <v>223</v>
      </c>
      <c r="Y280" t="str">
        <f>"2017-02-24T00:00:00"</f>
        <v>2017-02-24T00:00:00</v>
      </c>
      <c r="Z280" t="str">
        <f>"№11"</f>
        <v>№11</v>
      </c>
      <c r="AA280" t="s">
        <v>224</v>
      </c>
      <c r="AC280" t="s">
        <v>191</v>
      </c>
      <c r="AD280" t="s">
        <v>261</v>
      </c>
      <c r="AE280" t="s">
        <v>227</v>
      </c>
      <c r="AF280" t="s">
        <v>194</v>
      </c>
      <c r="AH280" t="s">
        <v>195</v>
      </c>
      <c r="AI280">
        <v>2</v>
      </c>
      <c r="AJ280" t="s">
        <v>196</v>
      </c>
      <c r="AK280" t="s">
        <v>194</v>
      </c>
      <c r="AL280" t="s">
        <v>197</v>
      </c>
      <c r="AM280" t="s">
        <v>228</v>
      </c>
      <c r="AR280" t="s">
        <v>194</v>
      </c>
      <c r="AS280" t="s">
        <v>199</v>
      </c>
      <c r="AU280" t="s">
        <v>197</v>
      </c>
      <c r="AZ280" t="s">
        <v>194</v>
      </c>
      <c r="BA280" t="s">
        <v>200</v>
      </c>
      <c r="BB280" t="s">
        <v>201</v>
      </c>
      <c r="BD280" t="s">
        <v>200</v>
      </c>
      <c r="BE280" t="s">
        <v>202</v>
      </c>
      <c r="BF280" t="s">
        <v>197</v>
      </c>
      <c r="BG280" t="s">
        <v>230</v>
      </c>
      <c r="BH280" t="s">
        <v>400</v>
      </c>
      <c r="BJ280" t="s">
        <v>205</v>
      </c>
      <c r="BK280" t="s">
        <v>206</v>
      </c>
      <c r="BL280" t="s">
        <v>194</v>
      </c>
      <c r="BO280" t="s">
        <v>200</v>
      </c>
      <c r="BP280" t="s">
        <v>200</v>
      </c>
      <c r="BR280" t="s">
        <v>232</v>
      </c>
      <c r="BT280" t="s">
        <v>197</v>
      </c>
      <c r="BV280" t="s">
        <v>233</v>
      </c>
      <c r="CA280" t="s">
        <v>194</v>
      </c>
      <c r="CB280" t="s">
        <v>214</v>
      </c>
      <c r="CF280" t="s">
        <v>215</v>
      </c>
      <c r="CH280" t="s">
        <v>214</v>
      </c>
      <c r="CI280" t="s">
        <v>214</v>
      </c>
      <c r="CJ280" t="s">
        <v>214</v>
      </c>
      <c r="CP280" t="s">
        <v>214</v>
      </c>
      <c r="CS280" t="s">
        <v>216</v>
      </c>
      <c r="CV280" t="s">
        <v>214</v>
      </c>
      <c r="CW280" t="s">
        <v>214</v>
      </c>
      <c r="CX280" t="s">
        <v>217</v>
      </c>
      <c r="CY280" t="s">
        <v>214</v>
      </c>
      <c r="DA280" t="s">
        <v>218</v>
      </c>
    </row>
    <row r="281" spans="1:105" x14ac:dyDescent="0.3">
      <c r="A281">
        <v>1230332</v>
      </c>
      <c r="B281">
        <v>934371</v>
      </c>
      <c r="C281" t="str">
        <f>"110301504480"</f>
        <v>110301504480</v>
      </c>
      <c r="D281" t="s">
        <v>945</v>
      </c>
      <c r="E281" t="s">
        <v>552</v>
      </c>
      <c r="F281" t="s">
        <v>289</v>
      </c>
      <c r="G281" s="1">
        <v>40603</v>
      </c>
      <c r="I281" t="s">
        <v>187</v>
      </c>
      <c r="J281" t="s">
        <v>188</v>
      </c>
      <c r="K281" t="s">
        <v>223</v>
      </c>
      <c r="Y281" t="str">
        <f>"2017-08-07T00:00:00"</f>
        <v>2017-08-07T00:00:00</v>
      </c>
      <c r="Z281" t="str">
        <f>"№25"</f>
        <v>№25</v>
      </c>
      <c r="AA281" t="s">
        <v>224</v>
      </c>
      <c r="AC281" t="s">
        <v>191</v>
      </c>
      <c r="AD281" t="s">
        <v>261</v>
      </c>
      <c r="AE281" t="s">
        <v>193</v>
      </c>
      <c r="AF281" t="s">
        <v>194</v>
      </c>
      <c r="AH281" t="s">
        <v>195</v>
      </c>
      <c r="AI281">
        <v>2</v>
      </c>
      <c r="AJ281" t="s">
        <v>196</v>
      </c>
      <c r="AK281" t="s">
        <v>194</v>
      </c>
      <c r="AL281" t="s">
        <v>197</v>
      </c>
      <c r="AM281" t="s">
        <v>198</v>
      </c>
      <c r="AR281" t="s">
        <v>194</v>
      </c>
      <c r="AS281" t="s">
        <v>199</v>
      </c>
      <c r="AU281" t="s">
        <v>197</v>
      </c>
      <c r="AZ281" t="s">
        <v>194</v>
      </c>
      <c r="BA281" t="s">
        <v>200</v>
      </c>
      <c r="BB281" t="s">
        <v>201</v>
      </c>
      <c r="BD281" t="s">
        <v>200</v>
      </c>
      <c r="BE281" t="s">
        <v>229</v>
      </c>
      <c r="BF281" t="s">
        <v>197</v>
      </c>
      <c r="BG281" t="s">
        <v>262</v>
      </c>
      <c r="BH281" t="s">
        <v>263</v>
      </c>
      <c r="BJ281" t="s">
        <v>205</v>
      </c>
      <c r="BK281" t="s">
        <v>206</v>
      </c>
      <c r="BL281" t="s">
        <v>194</v>
      </c>
      <c r="BO281" t="s">
        <v>200</v>
      </c>
      <c r="BP281" t="s">
        <v>200</v>
      </c>
      <c r="BR281" t="s">
        <v>232</v>
      </c>
      <c r="BT281" t="s">
        <v>197</v>
      </c>
      <c r="BV281" t="s">
        <v>233</v>
      </c>
      <c r="CA281" t="s">
        <v>194</v>
      </c>
      <c r="CB281" t="s">
        <v>214</v>
      </c>
      <c r="CF281" t="s">
        <v>215</v>
      </c>
      <c r="CH281" t="s">
        <v>214</v>
      </c>
      <c r="CI281" t="s">
        <v>214</v>
      </c>
      <c r="CJ281" t="s">
        <v>214</v>
      </c>
      <c r="CP281" t="s">
        <v>214</v>
      </c>
      <c r="CS281" t="s">
        <v>216</v>
      </c>
      <c r="CV281" t="s">
        <v>214</v>
      </c>
      <c r="CW281" t="s">
        <v>214</v>
      </c>
      <c r="CX281" t="s">
        <v>217</v>
      </c>
      <c r="CY281" t="s">
        <v>214</v>
      </c>
      <c r="DA281" t="s">
        <v>218</v>
      </c>
    </row>
    <row r="282" spans="1:105" x14ac:dyDescent="0.3">
      <c r="A282">
        <v>1230373</v>
      </c>
      <c r="B282">
        <v>934396</v>
      </c>
      <c r="C282" t="str">
        <f>"101006552775"</f>
        <v>101006552775</v>
      </c>
      <c r="D282" t="s">
        <v>802</v>
      </c>
      <c r="E282" t="s">
        <v>752</v>
      </c>
      <c r="F282" t="s">
        <v>344</v>
      </c>
      <c r="G282" s="1">
        <v>40457</v>
      </c>
      <c r="I282" t="s">
        <v>187</v>
      </c>
      <c r="J282" t="s">
        <v>188</v>
      </c>
      <c r="K282" t="s">
        <v>223</v>
      </c>
      <c r="Y282" t="str">
        <f>"2017-08-07T00:00:00"</f>
        <v>2017-08-07T00:00:00</v>
      </c>
      <c r="Z282" t="str">
        <f>"№25"</f>
        <v>№25</v>
      </c>
      <c r="AA282" t="s">
        <v>224</v>
      </c>
      <c r="AC282" t="s">
        <v>191</v>
      </c>
      <c r="AD282" t="s">
        <v>261</v>
      </c>
      <c r="AE282" t="s">
        <v>193</v>
      </c>
      <c r="AF282" t="s">
        <v>194</v>
      </c>
      <c r="AH282" t="s">
        <v>195</v>
      </c>
      <c r="AI282">
        <v>2</v>
      </c>
      <c r="AJ282" t="s">
        <v>196</v>
      </c>
      <c r="AK282" t="s">
        <v>194</v>
      </c>
      <c r="AL282" t="s">
        <v>197</v>
      </c>
      <c r="AM282" t="s">
        <v>198</v>
      </c>
      <c r="AR282" t="s">
        <v>194</v>
      </c>
      <c r="AS282" t="s">
        <v>199</v>
      </c>
      <c r="AU282" t="s">
        <v>197</v>
      </c>
      <c r="AZ282" t="s">
        <v>194</v>
      </c>
      <c r="BA282" t="s">
        <v>200</v>
      </c>
      <c r="BB282" t="s">
        <v>672</v>
      </c>
      <c r="BD282" t="s">
        <v>200</v>
      </c>
      <c r="BE282" t="s">
        <v>244</v>
      </c>
      <c r="BF282" t="s">
        <v>197</v>
      </c>
      <c r="BG282" t="s">
        <v>269</v>
      </c>
      <c r="BH282" t="s">
        <v>432</v>
      </c>
      <c r="BJ282" t="s">
        <v>205</v>
      </c>
      <c r="BK282" t="s">
        <v>206</v>
      </c>
      <c r="BL282" t="s">
        <v>194</v>
      </c>
      <c r="BO282" t="s">
        <v>216</v>
      </c>
      <c r="BP282" t="s">
        <v>216</v>
      </c>
      <c r="BQ282" t="s">
        <v>731</v>
      </c>
      <c r="BR282" t="s">
        <v>232</v>
      </c>
      <c r="BT282" t="s">
        <v>197</v>
      </c>
      <c r="BV282" t="s">
        <v>233</v>
      </c>
      <c r="CA282" t="s">
        <v>194</v>
      </c>
      <c r="CB282" t="s">
        <v>214</v>
      </c>
      <c r="CF282" t="s">
        <v>215</v>
      </c>
      <c r="CH282" t="s">
        <v>214</v>
      </c>
      <c r="CI282" t="s">
        <v>214</v>
      </c>
      <c r="CJ282" t="s">
        <v>214</v>
      </c>
      <c r="CP282" t="s">
        <v>214</v>
      </c>
      <c r="CS282" t="s">
        <v>216</v>
      </c>
      <c r="CV282" t="s">
        <v>214</v>
      </c>
      <c r="CW282" t="s">
        <v>214</v>
      </c>
      <c r="CX282" t="s">
        <v>217</v>
      </c>
      <c r="CY282" t="s">
        <v>214</v>
      </c>
      <c r="DA282" t="s">
        <v>218</v>
      </c>
    </row>
    <row r="283" spans="1:105" x14ac:dyDescent="0.3">
      <c r="A283">
        <v>1230408</v>
      </c>
      <c r="B283">
        <v>47764</v>
      </c>
      <c r="C283" t="str">
        <f>"110609500799"</f>
        <v>110609500799</v>
      </c>
      <c r="D283" t="s">
        <v>946</v>
      </c>
      <c r="E283" t="s">
        <v>523</v>
      </c>
      <c r="F283" t="s">
        <v>947</v>
      </c>
      <c r="G283" s="1">
        <v>40703</v>
      </c>
      <c r="I283" t="s">
        <v>187</v>
      </c>
      <c r="J283" t="s">
        <v>188</v>
      </c>
      <c r="K283" t="s">
        <v>189</v>
      </c>
      <c r="Y283" t="str">
        <f>"2018-08-06T00:00:00"</f>
        <v>2018-08-06T00:00:00</v>
      </c>
      <c r="Z283" t="str">
        <f>"№16"</f>
        <v>№16</v>
      </c>
      <c r="AA283" t="s">
        <v>224</v>
      </c>
      <c r="AC283" t="s">
        <v>191</v>
      </c>
      <c r="AD283" t="s">
        <v>285</v>
      </c>
      <c r="AE283" t="s">
        <v>193</v>
      </c>
      <c r="AF283" t="s">
        <v>194</v>
      </c>
      <c r="AH283" t="s">
        <v>195</v>
      </c>
      <c r="AI283">
        <v>1</v>
      </c>
      <c r="AJ283" t="s">
        <v>196</v>
      </c>
      <c r="AK283" t="s">
        <v>194</v>
      </c>
      <c r="AL283" t="s">
        <v>197</v>
      </c>
      <c r="AM283" t="s">
        <v>198</v>
      </c>
      <c r="AR283" t="s">
        <v>194</v>
      </c>
      <c r="AS283" t="s">
        <v>199</v>
      </c>
      <c r="AU283" t="s">
        <v>197</v>
      </c>
      <c r="AZ283" t="s">
        <v>194</v>
      </c>
      <c r="BA283" t="s">
        <v>200</v>
      </c>
      <c r="BB283" t="s">
        <v>201</v>
      </c>
      <c r="BD283" t="s">
        <v>200</v>
      </c>
      <c r="BE283" t="s">
        <v>202</v>
      </c>
      <c r="BF283" t="s">
        <v>197</v>
      </c>
      <c r="BG283" t="s">
        <v>948</v>
      </c>
      <c r="BH283" t="s">
        <v>440</v>
      </c>
      <c r="BJ283" t="s">
        <v>205</v>
      </c>
      <c r="BK283" t="s">
        <v>206</v>
      </c>
      <c r="BL283" t="s">
        <v>194</v>
      </c>
      <c r="BO283" t="s">
        <v>200</v>
      </c>
      <c r="BP283" t="s">
        <v>200</v>
      </c>
      <c r="BQ283" t="s">
        <v>286</v>
      </c>
      <c r="BR283" t="s">
        <v>232</v>
      </c>
      <c r="BT283" t="s">
        <v>197</v>
      </c>
      <c r="BV283" t="s">
        <v>233</v>
      </c>
      <c r="CA283" t="s">
        <v>194</v>
      </c>
      <c r="CB283" t="s">
        <v>214</v>
      </c>
      <c r="CF283" t="s">
        <v>215</v>
      </c>
      <c r="CH283" t="s">
        <v>214</v>
      </c>
      <c r="CI283" t="s">
        <v>214</v>
      </c>
      <c r="CJ283" t="s">
        <v>214</v>
      </c>
      <c r="CP283" t="s">
        <v>214</v>
      </c>
      <c r="CS283" t="s">
        <v>216</v>
      </c>
      <c r="CV283" t="s">
        <v>214</v>
      </c>
      <c r="CW283" t="s">
        <v>214</v>
      </c>
      <c r="CX283" t="s">
        <v>217</v>
      </c>
      <c r="CY283" t="s">
        <v>214</v>
      </c>
      <c r="DA283" t="s">
        <v>218</v>
      </c>
    </row>
    <row r="284" spans="1:105" x14ac:dyDescent="0.3">
      <c r="A284">
        <v>1230489</v>
      </c>
      <c r="B284">
        <v>934473</v>
      </c>
      <c r="C284" t="str">
        <f>"110215603878"</f>
        <v>110215603878</v>
      </c>
      <c r="D284" t="s">
        <v>949</v>
      </c>
      <c r="E284" t="s">
        <v>442</v>
      </c>
      <c r="F284" t="s">
        <v>358</v>
      </c>
      <c r="G284" s="1">
        <v>40589</v>
      </c>
      <c r="I284" t="s">
        <v>222</v>
      </c>
      <c r="J284" t="s">
        <v>188</v>
      </c>
      <c r="K284" t="s">
        <v>223</v>
      </c>
      <c r="Y284" t="str">
        <f>"2017-08-21T00:00:00"</f>
        <v>2017-08-21T00:00:00</v>
      </c>
      <c r="Z284" t="str">
        <f>"№25"</f>
        <v>№25</v>
      </c>
      <c r="AA284" t="s">
        <v>224</v>
      </c>
      <c r="AC284" t="s">
        <v>191</v>
      </c>
      <c r="AD284" t="s">
        <v>261</v>
      </c>
      <c r="AE284" t="s">
        <v>243</v>
      </c>
      <c r="AF284" t="s">
        <v>194</v>
      </c>
      <c r="AH284" t="s">
        <v>195</v>
      </c>
      <c r="AI284">
        <v>2</v>
      </c>
      <c r="AJ284" t="s">
        <v>196</v>
      </c>
      <c r="AK284" t="s">
        <v>194</v>
      </c>
      <c r="AL284" t="s">
        <v>197</v>
      </c>
      <c r="AM284" t="s">
        <v>228</v>
      </c>
      <c r="AR284" t="s">
        <v>194</v>
      </c>
      <c r="AS284" t="s">
        <v>199</v>
      </c>
      <c r="AU284" t="s">
        <v>197</v>
      </c>
      <c r="AZ284" t="s">
        <v>194</v>
      </c>
      <c r="BA284" t="s">
        <v>200</v>
      </c>
      <c r="BB284" t="s">
        <v>201</v>
      </c>
      <c r="BD284" t="s">
        <v>200</v>
      </c>
      <c r="BE284" t="s">
        <v>244</v>
      </c>
      <c r="BF284" t="s">
        <v>197</v>
      </c>
      <c r="BG284" t="s">
        <v>269</v>
      </c>
      <c r="BH284" t="s">
        <v>432</v>
      </c>
      <c r="BJ284" t="s">
        <v>205</v>
      </c>
      <c r="BK284" t="s">
        <v>206</v>
      </c>
      <c r="BL284" t="s">
        <v>194</v>
      </c>
      <c r="BO284" t="s">
        <v>216</v>
      </c>
      <c r="BP284" t="s">
        <v>216</v>
      </c>
      <c r="BQ284" t="s">
        <v>950</v>
      </c>
      <c r="BR284" t="s">
        <v>232</v>
      </c>
      <c r="BT284" t="s">
        <v>197</v>
      </c>
      <c r="BV284" t="s">
        <v>233</v>
      </c>
      <c r="CA284" t="s">
        <v>194</v>
      </c>
      <c r="CB284" t="s">
        <v>214</v>
      </c>
      <c r="CF284" t="s">
        <v>215</v>
      </c>
      <c r="CH284" t="s">
        <v>214</v>
      </c>
      <c r="CI284" t="s">
        <v>214</v>
      </c>
      <c r="CJ284" t="s">
        <v>214</v>
      </c>
      <c r="CP284" t="s">
        <v>214</v>
      </c>
      <c r="CS284" t="s">
        <v>216</v>
      </c>
      <c r="CV284" t="s">
        <v>214</v>
      </c>
      <c r="CW284" t="s">
        <v>214</v>
      </c>
      <c r="CX284" t="s">
        <v>217</v>
      </c>
      <c r="CY284" t="s">
        <v>214</v>
      </c>
      <c r="DA284" t="s">
        <v>218</v>
      </c>
    </row>
    <row r="285" spans="1:105" x14ac:dyDescent="0.3">
      <c r="A285">
        <v>1230504</v>
      </c>
      <c r="B285">
        <v>934478</v>
      </c>
      <c r="C285" t="str">
        <f>"110719604707"</f>
        <v>110719604707</v>
      </c>
      <c r="D285" t="s">
        <v>951</v>
      </c>
      <c r="E285" t="s">
        <v>398</v>
      </c>
      <c r="F285" t="s">
        <v>347</v>
      </c>
      <c r="G285" s="1">
        <v>40743</v>
      </c>
      <c r="I285" t="s">
        <v>222</v>
      </c>
      <c r="J285" t="s">
        <v>188</v>
      </c>
      <c r="K285" t="s">
        <v>260</v>
      </c>
      <c r="Y285" t="str">
        <f>"2017-08-21T00:00:00"</f>
        <v>2017-08-21T00:00:00</v>
      </c>
      <c r="Z285" t="str">
        <f>"№27"</f>
        <v>№27</v>
      </c>
      <c r="AA285" t="s">
        <v>224</v>
      </c>
      <c r="AC285" t="s">
        <v>191</v>
      </c>
      <c r="AD285" t="s">
        <v>261</v>
      </c>
      <c r="AE285" t="s">
        <v>243</v>
      </c>
      <c r="AF285" t="s">
        <v>194</v>
      </c>
      <c r="AH285" t="s">
        <v>195</v>
      </c>
      <c r="AI285">
        <v>2</v>
      </c>
      <c r="AJ285" t="s">
        <v>196</v>
      </c>
      <c r="AK285" t="s">
        <v>194</v>
      </c>
      <c r="AL285" t="s">
        <v>197</v>
      </c>
      <c r="AM285" t="s">
        <v>228</v>
      </c>
      <c r="AR285" t="s">
        <v>194</v>
      </c>
      <c r="AS285" t="s">
        <v>199</v>
      </c>
      <c r="AU285" t="s">
        <v>197</v>
      </c>
      <c r="AZ285" t="s">
        <v>194</v>
      </c>
      <c r="BA285" t="s">
        <v>200</v>
      </c>
      <c r="BB285" t="s">
        <v>201</v>
      </c>
      <c r="BD285" t="s">
        <v>200</v>
      </c>
      <c r="BE285" t="s">
        <v>202</v>
      </c>
      <c r="BF285" t="s">
        <v>197</v>
      </c>
      <c r="BG285" t="s">
        <v>269</v>
      </c>
      <c r="BH285" t="s">
        <v>279</v>
      </c>
      <c r="BJ285" t="s">
        <v>205</v>
      </c>
      <c r="BK285" t="s">
        <v>206</v>
      </c>
      <c r="BL285" t="s">
        <v>194</v>
      </c>
      <c r="BO285" t="s">
        <v>216</v>
      </c>
      <c r="BP285" t="s">
        <v>216</v>
      </c>
      <c r="BQ285" t="s">
        <v>280</v>
      </c>
      <c r="BR285" t="s">
        <v>232</v>
      </c>
      <c r="BT285" t="s">
        <v>197</v>
      </c>
      <c r="BV285" t="s">
        <v>233</v>
      </c>
      <c r="CA285" t="s">
        <v>194</v>
      </c>
      <c r="CB285" t="s">
        <v>214</v>
      </c>
      <c r="CF285" t="s">
        <v>215</v>
      </c>
      <c r="CH285" t="s">
        <v>214</v>
      </c>
      <c r="CI285" t="s">
        <v>214</v>
      </c>
      <c r="CJ285" t="s">
        <v>214</v>
      </c>
      <c r="CP285" t="s">
        <v>214</v>
      </c>
      <c r="CS285" t="s">
        <v>216</v>
      </c>
      <c r="CV285" t="s">
        <v>214</v>
      </c>
      <c r="CW285" t="s">
        <v>214</v>
      </c>
      <c r="CX285" t="s">
        <v>217</v>
      </c>
      <c r="CY285" t="s">
        <v>214</v>
      </c>
      <c r="DA285" t="s">
        <v>218</v>
      </c>
    </row>
    <row r="286" spans="1:105" x14ac:dyDescent="0.3">
      <c r="A286">
        <v>13792978</v>
      </c>
      <c r="B286">
        <v>6215918</v>
      </c>
      <c r="C286" t="str">
        <f>"130220502517"</f>
        <v>130220502517</v>
      </c>
      <c r="D286" t="s">
        <v>952</v>
      </c>
      <c r="E286" t="s">
        <v>719</v>
      </c>
      <c r="F286" t="s">
        <v>297</v>
      </c>
      <c r="G286" s="1">
        <v>41325</v>
      </c>
      <c r="I286" t="s">
        <v>187</v>
      </c>
      <c r="J286" t="s">
        <v>188</v>
      </c>
      <c r="K286" t="s">
        <v>223</v>
      </c>
      <c r="Y286" t="str">
        <f>"2019-08-21T00:00:00"</f>
        <v>2019-08-21T00:00:00</v>
      </c>
      <c r="Z286" t="str">
        <f>"31"</f>
        <v>31</v>
      </c>
      <c r="AA286" t="s">
        <v>190</v>
      </c>
      <c r="AC286" t="s">
        <v>191</v>
      </c>
      <c r="AD286" t="s">
        <v>615</v>
      </c>
      <c r="AE286" t="s">
        <v>413</v>
      </c>
      <c r="AF286" t="s">
        <v>194</v>
      </c>
      <c r="AH286" t="s">
        <v>195</v>
      </c>
      <c r="AI286">
        <v>1</v>
      </c>
      <c r="AJ286" t="s">
        <v>196</v>
      </c>
      <c r="AK286" t="s">
        <v>194</v>
      </c>
      <c r="AL286" t="s">
        <v>197</v>
      </c>
      <c r="AM286" t="s">
        <v>228</v>
      </c>
      <c r="AR286" t="s">
        <v>194</v>
      </c>
      <c r="AS286" t="s">
        <v>199</v>
      </c>
      <c r="AU286" t="s">
        <v>197</v>
      </c>
      <c r="AZ286" t="s">
        <v>194</v>
      </c>
      <c r="BA286" t="s">
        <v>200</v>
      </c>
      <c r="BB286" t="s">
        <v>201</v>
      </c>
      <c r="BD286" t="s">
        <v>200</v>
      </c>
      <c r="BE286" t="s">
        <v>202</v>
      </c>
      <c r="BF286" t="s">
        <v>197</v>
      </c>
      <c r="BG286" t="s">
        <v>230</v>
      </c>
      <c r="BH286" t="s">
        <v>420</v>
      </c>
      <c r="BJ286" t="s">
        <v>205</v>
      </c>
      <c r="BK286" t="s">
        <v>206</v>
      </c>
      <c r="BL286" t="s">
        <v>214</v>
      </c>
      <c r="BO286" t="s">
        <v>200</v>
      </c>
      <c r="BP286" t="s">
        <v>200</v>
      </c>
      <c r="BQ286" s="3">
        <v>45566</v>
      </c>
      <c r="BR286" t="s">
        <v>232</v>
      </c>
      <c r="BT286" t="s">
        <v>197</v>
      </c>
      <c r="BV286" t="s">
        <v>233</v>
      </c>
      <c r="CA286" t="s">
        <v>194</v>
      </c>
      <c r="CB286" t="s">
        <v>214</v>
      </c>
      <c r="CF286" t="s">
        <v>215</v>
      </c>
      <c r="CH286" t="s">
        <v>214</v>
      </c>
      <c r="CI286" t="s">
        <v>214</v>
      </c>
      <c r="CJ286" t="s">
        <v>214</v>
      </c>
      <c r="CP286" t="s">
        <v>214</v>
      </c>
      <c r="CS286" t="s">
        <v>216</v>
      </c>
      <c r="CV286" t="s">
        <v>214</v>
      </c>
      <c r="CW286" t="s">
        <v>214</v>
      </c>
      <c r="CX286" t="s">
        <v>217</v>
      </c>
      <c r="CY286" t="s">
        <v>214</v>
      </c>
      <c r="DA286" t="s">
        <v>218</v>
      </c>
    </row>
    <row r="287" spans="1:105" x14ac:dyDescent="0.3">
      <c r="A287">
        <v>1230570</v>
      </c>
      <c r="B287">
        <v>934524</v>
      </c>
      <c r="C287" t="str">
        <f>"120319603964"</f>
        <v>120319603964</v>
      </c>
      <c r="D287" t="s">
        <v>953</v>
      </c>
      <c r="E287" t="s">
        <v>954</v>
      </c>
      <c r="F287" t="s">
        <v>336</v>
      </c>
      <c r="G287" s="1">
        <v>40987</v>
      </c>
      <c r="I287" t="s">
        <v>222</v>
      </c>
      <c r="J287" t="s">
        <v>188</v>
      </c>
      <c r="K287" t="s">
        <v>223</v>
      </c>
      <c r="Y287" t="str">
        <f>"2018-08-15T00:00:00"</f>
        <v>2018-08-15T00:00:00</v>
      </c>
      <c r="Z287" t="str">
        <f>"№20"</f>
        <v>№20</v>
      </c>
      <c r="AA287" t="s">
        <v>224</v>
      </c>
      <c r="AC287" t="s">
        <v>191</v>
      </c>
      <c r="AD287" t="s">
        <v>285</v>
      </c>
      <c r="AE287" t="s">
        <v>193</v>
      </c>
      <c r="AF287" t="s">
        <v>194</v>
      </c>
      <c r="AH287" t="s">
        <v>195</v>
      </c>
      <c r="AI287">
        <v>1</v>
      </c>
      <c r="AJ287" t="s">
        <v>196</v>
      </c>
      <c r="AK287" t="s">
        <v>194</v>
      </c>
      <c r="AL287" t="s">
        <v>197</v>
      </c>
      <c r="AM287" t="s">
        <v>198</v>
      </c>
      <c r="AR287" t="s">
        <v>194</v>
      </c>
      <c r="AS287" t="s">
        <v>199</v>
      </c>
      <c r="AU287" t="s">
        <v>197</v>
      </c>
      <c r="AZ287" t="s">
        <v>194</v>
      </c>
      <c r="BA287" t="s">
        <v>200</v>
      </c>
      <c r="BB287" t="s">
        <v>201</v>
      </c>
      <c r="BD287" t="s">
        <v>200</v>
      </c>
      <c r="BE287" t="s">
        <v>244</v>
      </c>
      <c r="BF287" t="s">
        <v>197</v>
      </c>
      <c r="BG287" t="s">
        <v>269</v>
      </c>
      <c r="BH287" t="s">
        <v>432</v>
      </c>
      <c r="BJ287" t="s">
        <v>205</v>
      </c>
      <c r="BK287" t="s">
        <v>206</v>
      </c>
      <c r="BL287" t="s">
        <v>194</v>
      </c>
      <c r="BO287" t="s">
        <v>216</v>
      </c>
      <c r="BP287" t="s">
        <v>216</v>
      </c>
      <c r="BQ287" t="s">
        <v>286</v>
      </c>
      <c r="BR287" t="s">
        <v>232</v>
      </c>
      <c r="BT287" t="s">
        <v>197</v>
      </c>
      <c r="BV287" t="s">
        <v>233</v>
      </c>
      <c r="CA287" t="s">
        <v>194</v>
      </c>
      <c r="CB287" t="s">
        <v>214</v>
      </c>
      <c r="CF287" t="s">
        <v>215</v>
      </c>
      <c r="CH287" t="s">
        <v>214</v>
      </c>
      <c r="CI287" t="s">
        <v>214</v>
      </c>
      <c r="CJ287" t="s">
        <v>214</v>
      </c>
      <c r="CP287" t="s">
        <v>214</v>
      </c>
      <c r="CS287" t="s">
        <v>216</v>
      </c>
      <c r="CV287" t="s">
        <v>214</v>
      </c>
      <c r="CW287" t="s">
        <v>214</v>
      </c>
      <c r="CX287" t="s">
        <v>217</v>
      </c>
      <c r="CY287" t="s">
        <v>214</v>
      </c>
      <c r="DA287" t="s">
        <v>218</v>
      </c>
    </row>
    <row r="288" spans="1:105" x14ac:dyDescent="0.3">
      <c r="A288">
        <v>1230608</v>
      </c>
      <c r="B288">
        <v>934551</v>
      </c>
      <c r="C288" t="str">
        <f>"120226603176"</f>
        <v>120226603176</v>
      </c>
      <c r="D288" t="s">
        <v>955</v>
      </c>
      <c r="E288" t="s">
        <v>723</v>
      </c>
      <c r="F288" t="s">
        <v>527</v>
      </c>
      <c r="G288" s="1">
        <v>40965</v>
      </c>
      <c r="I288" t="s">
        <v>222</v>
      </c>
      <c r="J288" t="s">
        <v>188</v>
      </c>
      <c r="K288" t="s">
        <v>382</v>
      </c>
      <c r="Y288" t="str">
        <f>"2017-09-02T00:00:00"</f>
        <v>2017-09-02T00:00:00</v>
      </c>
      <c r="Z288" t="str">
        <f>"№31"</f>
        <v>№31</v>
      </c>
      <c r="AA288" t="s">
        <v>224</v>
      </c>
      <c r="AC288" t="s">
        <v>191</v>
      </c>
      <c r="AD288" t="s">
        <v>285</v>
      </c>
      <c r="AE288" t="s">
        <v>227</v>
      </c>
      <c r="AF288" t="s">
        <v>194</v>
      </c>
      <c r="AH288" t="s">
        <v>195</v>
      </c>
      <c r="AI288">
        <v>1</v>
      </c>
      <c r="AJ288" t="s">
        <v>196</v>
      </c>
      <c r="AK288" t="s">
        <v>194</v>
      </c>
      <c r="AL288" t="s">
        <v>197</v>
      </c>
      <c r="AM288" t="s">
        <v>198</v>
      </c>
      <c r="AR288" t="s">
        <v>194</v>
      </c>
      <c r="AS288" t="s">
        <v>199</v>
      </c>
      <c r="AU288" t="s">
        <v>197</v>
      </c>
      <c r="AZ288" t="s">
        <v>194</v>
      </c>
      <c r="BA288" t="s">
        <v>200</v>
      </c>
      <c r="BB288" t="s">
        <v>201</v>
      </c>
      <c r="BD288" t="s">
        <v>200</v>
      </c>
      <c r="BE288" t="s">
        <v>229</v>
      </c>
      <c r="BF288" t="s">
        <v>197</v>
      </c>
      <c r="BG288" t="s">
        <v>238</v>
      </c>
      <c r="BH288">
        <v>4</v>
      </c>
      <c r="BJ288" t="s">
        <v>205</v>
      </c>
      <c r="BK288" t="s">
        <v>206</v>
      </c>
      <c r="BL288" t="s">
        <v>194</v>
      </c>
      <c r="BO288" t="s">
        <v>216</v>
      </c>
      <c r="BP288" t="s">
        <v>216</v>
      </c>
      <c r="BQ288" t="s">
        <v>286</v>
      </c>
      <c r="BR288" t="s">
        <v>232</v>
      </c>
      <c r="BT288" t="s">
        <v>197</v>
      </c>
      <c r="BV288" t="s">
        <v>233</v>
      </c>
      <c r="CA288" t="s">
        <v>194</v>
      </c>
      <c r="CB288" t="s">
        <v>214</v>
      </c>
      <c r="CF288" t="s">
        <v>215</v>
      </c>
      <c r="CH288" t="s">
        <v>214</v>
      </c>
      <c r="CI288" t="s">
        <v>214</v>
      </c>
      <c r="CJ288" t="s">
        <v>214</v>
      </c>
      <c r="CP288" t="s">
        <v>214</v>
      </c>
      <c r="CS288" t="s">
        <v>216</v>
      </c>
      <c r="CV288" t="s">
        <v>214</v>
      </c>
      <c r="CW288" t="s">
        <v>214</v>
      </c>
      <c r="CX288" t="s">
        <v>217</v>
      </c>
      <c r="CY288" t="s">
        <v>214</v>
      </c>
      <c r="DA288" t="s">
        <v>218</v>
      </c>
    </row>
    <row r="289" spans="1:105" x14ac:dyDescent="0.3">
      <c r="A289">
        <v>1230611</v>
      </c>
      <c r="B289">
        <v>934553</v>
      </c>
      <c r="C289" t="str">
        <f>"110919502018"</f>
        <v>110919502018</v>
      </c>
      <c r="D289" t="s">
        <v>956</v>
      </c>
      <c r="E289" t="s">
        <v>419</v>
      </c>
      <c r="F289" t="s">
        <v>316</v>
      </c>
      <c r="G289" s="1">
        <v>40805</v>
      </c>
      <c r="I289" t="s">
        <v>187</v>
      </c>
      <c r="J289" t="s">
        <v>188</v>
      </c>
      <c r="K289" t="s">
        <v>223</v>
      </c>
      <c r="Y289" t="str">
        <f>"2017-09-02T00:00:00"</f>
        <v>2017-09-02T00:00:00</v>
      </c>
      <c r="Z289" t="str">
        <f>"№31"</f>
        <v>№31</v>
      </c>
      <c r="AA289" t="s">
        <v>224</v>
      </c>
      <c r="AC289" t="s">
        <v>191</v>
      </c>
      <c r="AD289" t="s">
        <v>285</v>
      </c>
      <c r="AE289" t="s">
        <v>227</v>
      </c>
      <c r="AF289" t="s">
        <v>194</v>
      </c>
      <c r="AH289" t="s">
        <v>195</v>
      </c>
      <c r="AI289">
        <v>2</v>
      </c>
      <c r="AJ289" t="s">
        <v>196</v>
      </c>
      <c r="AK289" t="s">
        <v>194</v>
      </c>
      <c r="AL289" t="s">
        <v>197</v>
      </c>
      <c r="AM289" t="s">
        <v>228</v>
      </c>
      <c r="AR289" t="s">
        <v>194</v>
      </c>
      <c r="AS289" t="s">
        <v>199</v>
      </c>
      <c r="AU289" t="s">
        <v>197</v>
      </c>
      <c r="AZ289" t="s">
        <v>194</v>
      </c>
      <c r="BA289" t="s">
        <v>200</v>
      </c>
      <c r="BB289" t="s">
        <v>201</v>
      </c>
      <c r="BD289" t="s">
        <v>200</v>
      </c>
      <c r="BE289" t="s">
        <v>229</v>
      </c>
      <c r="BF289" t="s">
        <v>197</v>
      </c>
      <c r="BG289" t="s">
        <v>238</v>
      </c>
      <c r="BH289">
        <v>4</v>
      </c>
      <c r="BJ289" t="s">
        <v>205</v>
      </c>
      <c r="BK289" t="s">
        <v>206</v>
      </c>
      <c r="BL289" t="s">
        <v>194</v>
      </c>
      <c r="BO289" t="s">
        <v>200</v>
      </c>
      <c r="BP289" t="s">
        <v>200</v>
      </c>
      <c r="BQ289" t="s">
        <v>286</v>
      </c>
      <c r="BR289" t="s">
        <v>232</v>
      </c>
      <c r="BT289" t="s">
        <v>197</v>
      </c>
      <c r="BV289" t="s">
        <v>233</v>
      </c>
      <c r="CA289" t="s">
        <v>194</v>
      </c>
      <c r="CB289" t="s">
        <v>194</v>
      </c>
      <c r="CC289" t="s">
        <v>264</v>
      </c>
      <c r="CD289" t="s">
        <v>265</v>
      </c>
      <c r="CE289" t="s">
        <v>266</v>
      </c>
      <c r="CF289" t="s">
        <v>215</v>
      </c>
      <c r="CH289" t="s">
        <v>214</v>
      </c>
      <c r="CI289" t="s">
        <v>214</v>
      </c>
      <c r="CJ289" t="s">
        <v>214</v>
      </c>
      <c r="CP289" t="s">
        <v>214</v>
      </c>
      <c r="CS289" t="s">
        <v>216</v>
      </c>
      <c r="CV289" t="s">
        <v>214</v>
      </c>
      <c r="CW289" t="s">
        <v>214</v>
      </c>
      <c r="CX289" t="s">
        <v>217</v>
      </c>
      <c r="CY289" t="s">
        <v>214</v>
      </c>
      <c r="DA289" t="s">
        <v>218</v>
      </c>
    </row>
    <row r="290" spans="1:105" x14ac:dyDescent="0.3">
      <c r="A290">
        <v>1230777</v>
      </c>
      <c r="B290">
        <v>934655</v>
      </c>
      <c r="C290" t="str">
        <f>"130205602819"</f>
        <v>130205602819</v>
      </c>
      <c r="D290" t="s">
        <v>356</v>
      </c>
      <c r="E290" t="s">
        <v>730</v>
      </c>
      <c r="F290" t="s">
        <v>358</v>
      </c>
      <c r="G290" s="1">
        <v>41310</v>
      </c>
      <c r="I290" t="s">
        <v>222</v>
      </c>
      <c r="J290" t="s">
        <v>188</v>
      </c>
      <c r="K290" t="s">
        <v>223</v>
      </c>
      <c r="Y290" t="str">
        <f>"2018-09-01T00:00:00"</f>
        <v>2018-09-01T00:00:00</v>
      </c>
      <c r="Z290" t="str">
        <f>"№26"</f>
        <v>№26</v>
      </c>
      <c r="AA290" t="s">
        <v>224</v>
      </c>
      <c r="AC290" t="s">
        <v>191</v>
      </c>
      <c r="AD290" t="s">
        <v>615</v>
      </c>
      <c r="AE290" t="s">
        <v>227</v>
      </c>
      <c r="AF290" t="s">
        <v>194</v>
      </c>
      <c r="AH290" t="s">
        <v>195</v>
      </c>
      <c r="AI290">
        <v>1</v>
      </c>
      <c r="AJ290" t="s">
        <v>196</v>
      </c>
      <c r="AK290" t="s">
        <v>194</v>
      </c>
      <c r="AL290" t="s">
        <v>197</v>
      </c>
      <c r="AM290" t="s">
        <v>228</v>
      </c>
      <c r="AR290" t="s">
        <v>194</v>
      </c>
      <c r="AS290" t="s">
        <v>199</v>
      </c>
      <c r="AU290" t="s">
        <v>197</v>
      </c>
      <c r="AZ290" t="s">
        <v>194</v>
      </c>
      <c r="BA290" t="s">
        <v>200</v>
      </c>
      <c r="BB290" t="s">
        <v>201</v>
      </c>
      <c r="BD290" t="s">
        <v>200</v>
      </c>
      <c r="BE290" t="s">
        <v>244</v>
      </c>
      <c r="BF290" t="s">
        <v>197</v>
      </c>
      <c r="BG290" t="s">
        <v>238</v>
      </c>
      <c r="BH290">
        <v>5</v>
      </c>
      <c r="BJ290" t="s">
        <v>205</v>
      </c>
      <c r="BK290" t="s">
        <v>206</v>
      </c>
      <c r="BL290" t="s">
        <v>194</v>
      </c>
      <c r="BO290" t="s">
        <v>200</v>
      </c>
      <c r="BP290" t="s">
        <v>200</v>
      </c>
      <c r="BQ290" s="2">
        <v>44805</v>
      </c>
      <c r="BR290" t="s">
        <v>232</v>
      </c>
      <c r="BT290" t="s">
        <v>197</v>
      </c>
      <c r="BV290" t="s">
        <v>715</v>
      </c>
      <c r="BW290" t="s">
        <v>248</v>
      </c>
      <c r="BX290" t="s">
        <v>716</v>
      </c>
      <c r="BY290" t="s">
        <v>561</v>
      </c>
      <c r="BZ290" t="s">
        <v>957</v>
      </c>
      <c r="CA290" t="s">
        <v>214</v>
      </c>
      <c r="CB290" t="s">
        <v>194</v>
      </c>
      <c r="CC290" t="s">
        <v>264</v>
      </c>
      <c r="CD290" t="s">
        <v>265</v>
      </c>
      <c r="CE290" t="s">
        <v>266</v>
      </c>
      <c r="CF290" t="s">
        <v>215</v>
      </c>
      <c r="CH290" t="s">
        <v>214</v>
      </c>
      <c r="CI290" t="s">
        <v>214</v>
      </c>
      <c r="CJ290" t="s">
        <v>214</v>
      </c>
      <c r="CP290" t="s">
        <v>214</v>
      </c>
      <c r="CS290" t="s">
        <v>216</v>
      </c>
      <c r="CV290" t="s">
        <v>214</v>
      </c>
      <c r="CW290" t="s">
        <v>214</v>
      </c>
      <c r="CX290" t="s">
        <v>217</v>
      </c>
      <c r="CY290" t="s">
        <v>214</v>
      </c>
      <c r="DA290" t="s">
        <v>218</v>
      </c>
    </row>
    <row r="291" spans="1:105" x14ac:dyDescent="0.3">
      <c r="A291">
        <v>1230790</v>
      </c>
      <c r="B291">
        <v>934663</v>
      </c>
      <c r="C291" t="str">
        <f>"121205500669"</f>
        <v>121205500669</v>
      </c>
      <c r="D291" t="s">
        <v>958</v>
      </c>
      <c r="E291" t="s">
        <v>933</v>
      </c>
      <c r="F291" t="s">
        <v>479</v>
      </c>
      <c r="G291" s="1">
        <v>41248</v>
      </c>
      <c r="I291" t="s">
        <v>187</v>
      </c>
      <c r="J291" t="s">
        <v>188</v>
      </c>
      <c r="K291" t="s">
        <v>498</v>
      </c>
      <c r="Y291" t="str">
        <f>"2018-09-01T00:00:00"</f>
        <v>2018-09-01T00:00:00</v>
      </c>
      <c r="Z291" t="str">
        <f>"№26"</f>
        <v>№26</v>
      </c>
      <c r="AA291" t="s">
        <v>224</v>
      </c>
      <c r="AC291" t="s">
        <v>191</v>
      </c>
      <c r="AD291" t="s">
        <v>615</v>
      </c>
      <c r="AE291" t="s">
        <v>193</v>
      </c>
      <c r="AF291" t="s">
        <v>194</v>
      </c>
      <c r="AH291" t="s">
        <v>195</v>
      </c>
      <c r="AI291">
        <v>1</v>
      </c>
      <c r="AJ291" t="s">
        <v>196</v>
      </c>
      <c r="AK291" t="s">
        <v>194</v>
      </c>
      <c r="AL291" t="s">
        <v>197</v>
      </c>
      <c r="AM291" t="s">
        <v>228</v>
      </c>
      <c r="AR291" t="s">
        <v>194</v>
      </c>
      <c r="AS291" t="s">
        <v>199</v>
      </c>
      <c r="AU291" t="s">
        <v>197</v>
      </c>
      <c r="AZ291" t="s">
        <v>194</v>
      </c>
      <c r="BA291" t="s">
        <v>200</v>
      </c>
      <c r="BB291" t="s">
        <v>201</v>
      </c>
      <c r="BD291" t="s">
        <v>200</v>
      </c>
      <c r="BE291" t="s">
        <v>244</v>
      </c>
      <c r="BF291" t="s">
        <v>197</v>
      </c>
      <c r="BG291" t="s">
        <v>238</v>
      </c>
      <c r="BH291">
        <v>5</v>
      </c>
      <c r="BJ291" t="s">
        <v>205</v>
      </c>
      <c r="BK291" t="s">
        <v>206</v>
      </c>
      <c r="BL291" t="s">
        <v>194</v>
      </c>
      <c r="BO291" t="s">
        <v>216</v>
      </c>
      <c r="BP291" t="s">
        <v>216</v>
      </c>
      <c r="BQ291" s="2">
        <v>44805</v>
      </c>
      <c r="BR291" t="s">
        <v>232</v>
      </c>
      <c r="BT291" t="s">
        <v>197</v>
      </c>
      <c r="BV291" t="s">
        <v>233</v>
      </c>
      <c r="CA291" t="s">
        <v>214</v>
      </c>
      <c r="CB291" t="s">
        <v>194</v>
      </c>
      <c r="CC291" t="s">
        <v>264</v>
      </c>
      <c r="CD291" t="s">
        <v>265</v>
      </c>
      <c r="CE291" t="s">
        <v>266</v>
      </c>
      <c r="CF291" t="s">
        <v>215</v>
      </c>
      <c r="CH291" t="s">
        <v>214</v>
      </c>
      <c r="CI291" t="s">
        <v>214</v>
      </c>
      <c r="CJ291" t="s">
        <v>214</v>
      </c>
      <c r="CP291" t="s">
        <v>214</v>
      </c>
      <c r="CS291" t="s">
        <v>216</v>
      </c>
      <c r="CV291" t="s">
        <v>214</v>
      </c>
      <c r="CW291" t="s">
        <v>214</v>
      </c>
      <c r="CX291" t="s">
        <v>217</v>
      </c>
      <c r="CY291" t="s">
        <v>214</v>
      </c>
      <c r="DA291" t="s">
        <v>218</v>
      </c>
    </row>
    <row r="292" spans="1:105" x14ac:dyDescent="0.3">
      <c r="A292">
        <v>13798473</v>
      </c>
      <c r="B292">
        <v>9127085</v>
      </c>
      <c r="C292" t="str">
        <f>"131001506204"</f>
        <v>131001506204</v>
      </c>
      <c r="D292" t="s">
        <v>959</v>
      </c>
      <c r="E292" t="s">
        <v>960</v>
      </c>
      <c r="F292" t="s">
        <v>961</v>
      </c>
      <c r="G292" s="1">
        <v>41548</v>
      </c>
      <c r="I292" t="s">
        <v>187</v>
      </c>
      <c r="J292" t="s">
        <v>188</v>
      </c>
      <c r="K292" t="s">
        <v>284</v>
      </c>
      <c r="Y292" t="str">
        <f>"2019-08-21T00:00:00"</f>
        <v>2019-08-21T00:00:00</v>
      </c>
      <c r="Z292" t="str">
        <f>"31"</f>
        <v>31</v>
      </c>
      <c r="AA292" t="s">
        <v>190</v>
      </c>
      <c r="AC292" t="s">
        <v>191</v>
      </c>
      <c r="AD292" t="s">
        <v>615</v>
      </c>
      <c r="AE292" t="s">
        <v>243</v>
      </c>
      <c r="AF292" t="s">
        <v>194</v>
      </c>
      <c r="AH292" t="s">
        <v>195</v>
      </c>
      <c r="AI292">
        <v>1</v>
      </c>
      <c r="AJ292" t="s">
        <v>196</v>
      </c>
      <c r="AK292" t="s">
        <v>194</v>
      </c>
      <c r="AL292" t="s">
        <v>197</v>
      </c>
      <c r="AM292" t="s">
        <v>228</v>
      </c>
      <c r="AR292" t="s">
        <v>194</v>
      </c>
      <c r="AS292" t="s">
        <v>199</v>
      </c>
      <c r="AU292" t="s">
        <v>197</v>
      </c>
      <c r="AZ292" t="s">
        <v>194</v>
      </c>
      <c r="BA292" t="s">
        <v>200</v>
      </c>
      <c r="BB292" t="s">
        <v>201</v>
      </c>
      <c r="BC292" t="s">
        <v>317</v>
      </c>
      <c r="BD292" t="s">
        <v>200</v>
      </c>
      <c r="BE292" t="s">
        <v>202</v>
      </c>
      <c r="BF292" t="s">
        <v>197</v>
      </c>
      <c r="BG292" t="s">
        <v>230</v>
      </c>
      <c r="BH292" t="s">
        <v>400</v>
      </c>
      <c r="BJ292" t="s">
        <v>205</v>
      </c>
      <c r="BK292" t="s">
        <v>206</v>
      </c>
      <c r="BL292" t="s">
        <v>194</v>
      </c>
      <c r="BO292" t="s">
        <v>216</v>
      </c>
      <c r="BP292" t="s">
        <v>216</v>
      </c>
      <c r="BQ292" s="3">
        <v>45566</v>
      </c>
      <c r="BR292" t="s">
        <v>232</v>
      </c>
      <c r="BT292" t="s">
        <v>197</v>
      </c>
      <c r="BV292" t="s">
        <v>233</v>
      </c>
      <c r="CA292" t="s">
        <v>194</v>
      </c>
      <c r="CB292" t="s">
        <v>214</v>
      </c>
      <c r="CF292" t="s">
        <v>215</v>
      </c>
      <c r="CH292" t="s">
        <v>214</v>
      </c>
      <c r="CI292" t="s">
        <v>214</v>
      </c>
      <c r="CJ292" t="s">
        <v>214</v>
      </c>
      <c r="CP292" t="s">
        <v>214</v>
      </c>
      <c r="CS292" t="s">
        <v>216</v>
      </c>
      <c r="CV292" t="s">
        <v>214</v>
      </c>
      <c r="CW292" t="s">
        <v>214</v>
      </c>
      <c r="CX292" t="s">
        <v>217</v>
      </c>
      <c r="CY292" t="s">
        <v>214</v>
      </c>
      <c r="DA292" t="s">
        <v>218</v>
      </c>
    </row>
    <row r="293" spans="1:105" x14ac:dyDescent="0.3">
      <c r="A293">
        <v>1230862</v>
      </c>
      <c r="B293">
        <v>934708</v>
      </c>
      <c r="C293" t="str">
        <f>"130212503776"</f>
        <v>130212503776</v>
      </c>
      <c r="D293" t="s">
        <v>962</v>
      </c>
      <c r="E293" t="s">
        <v>791</v>
      </c>
      <c r="F293" t="s">
        <v>297</v>
      </c>
      <c r="G293" s="1">
        <v>41317</v>
      </c>
      <c r="I293" t="s">
        <v>187</v>
      </c>
      <c r="J293" t="s">
        <v>188</v>
      </c>
      <c r="K293" t="s">
        <v>223</v>
      </c>
      <c r="Y293" t="str">
        <f>"2018-09-01T00:00:00"</f>
        <v>2018-09-01T00:00:00</v>
      </c>
      <c r="Z293" t="str">
        <f>"№26"</f>
        <v>№26</v>
      </c>
      <c r="AA293" t="s">
        <v>224</v>
      </c>
      <c r="AC293" t="s">
        <v>191</v>
      </c>
      <c r="AD293" t="s">
        <v>615</v>
      </c>
      <c r="AE293" t="s">
        <v>413</v>
      </c>
      <c r="AF293" t="s">
        <v>194</v>
      </c>
      <c r="AH293" t="s">
        <v>195</v>
      </c>
      <c r="AI293">
        <v>1</v>
      </c>
      <c r="AJ293" t="s">
        <v>196</v>
      </c>
      <c r="AK293" t="s">
        <v>194</v>
      </c>
      <c r="AL293" t="s">
        <v>197</v>
      </c>
      <c r="AM293" t="s">
        <v>228</v>
      </c>
      <c r="AR293" t="s">
        <v>194</v>
      </c>
      <c r="AS293" t="s">
        <v>199</v>
      </c>
      <c r="AU293" t="s">
        <v>197</v>
      </c>
      <c r="AZ293" t="s">
        <v>194</v>
      </c>
      <c r="BA293" t="s">
        <v>200</v>
      </c>
      <c r="BB293" t="s">
        <v>201</v>
      </c>
      <c r="BD293" t="s">
        <v>200</v>
      </c>
      <c r="BE293" t="s">
        <v>244</v>
      </c>
      <c r="BF293" t="s">
        <v>197</v>
      </c>
      <c r="BG293" t="s">
        <v>238</v>
      </c>
      <c r="BH293">
        <v>5</v>
      </c>
      <c r="BJ293" t="s">
        <v>205</v>
      </c>
      <c r="BK293" t="s">
        <v>206</v>
      </c>
      <c r="BL293" t="s">
        <v>194</v>
      </c>
      <c r="BO293" t="s">
        <v>216</v>
      </c>
      <c r="BP293" t="s">
        <v>216</v>
      </c>
      <c r="BQ293" s="2">
        <v>44805</v>
      </c>
      <c r="BR293" t="s">
        <v>232</v>
      </c>
      <c r="BT293" t="s">
        <v>197</v>
      </c>
      <c r="BV293" t="s">
        <v>233</v>
      </c>
      <c r="CA293" t="s">
        <v>194</v>
      </c>
      <c r="CB293" t="s">
        <v>214</v>
      </c>
      <c r="CF293" t="s">
        <v>215</v>
      </c>
      <c r="CH293" t="s">
        <v>214</v>
      </c>
      <c r="CI293" t="s">
        <v>214</v>
      </c>
      <c r="CJ293" t="s">
        <v>214</v>
      </c>
      <c r="CP293" t="s">
        <v>214</v>
      </c>
      <c r="CS293" t="s">
        <v>216</v>
      </c>
      <c r="CV293" t="s">
        <v>214</v>
      </c>
      <c r="CW293" t="s">
        <v>214</v>
      </c>
      <c r="CX293" t="s">
        <v>217</v>
      </c>
      <c r="CY293" t="s">
        <v>214</v>
      </c>
      <c r="DA293" t="s">
        <v>218</v>
      </c>
    </row>
    <row r="294" spans="1:105" x14ac:dyDescent="0.3">
      <c r="A294">
        <v>1230883</v>
      </c>
      <c r="B294">
        <v>934726</v>
      </c>
      <c r="C294" t="str">
        <f>"130127502918"</f>
        <v>130127502918</v>
      </c>
      <c r="D294" t="s">
        <v>963</v>
      </c>
      <c r="E294" t="s">
        <v>804</v>
      </c>
      <c r="F294" t="s">
        <v>344</v>
      </c>
      <c r="G294" s="1">
        <v>41301</v>
      </c>
      <c r="I294" t="s">
        <v>187</v>
      </c>
      <c r="J294" t="s">
        <v>188</v>
      </c>
      <c r="K294" t="s">
        <v>223</v>
      </c>
      <c r="Y294" t="str">
        <f>"2018-09-01T00:00:00"</f>
        <v>2018-09-01T00:00:00</v>
      </c>
      <c r="Z294" t="str">
        <f>"№26"</f>
        <v>№26</v>
      </c>
      <c r="AA294" t="s">
        <v>224</v>
      </c>
      <c r="AC294" t="s">
        <v>191</v>
      </c>
      <c r="AD294" t="s">
        <v>615</v>
      </c>
      <c r="AE294" t="s">
        <v>413</v>
      </c>
      <c r="AF294" t="s">
        <v>194</v>
      </c>
      <c r="AH294" t="s">
        <v>195</v>
      </c>
      <c r="AI294">
        <v>1</v>
      </c>
      <c r="AJ294" t="s">
        <v>196</v>
      </c>
      <c r="AK294" t="s">
        <v>194</v>
      </c>
      <c r="AL294" t="s">
        <v>197</v>
      </c>
      <c r="AM294" t="s">
        <v>198</v>
      </c>
      <c r="AR294" t="s">
        <v>194</v>
      </c>
      <c r="AS294" t="s">
        <v>199</v>
      </c>
      <c r="AU294" t="s">
        <v>197</v>
      </c>
      <c r="AZ294" t="s">
        <v>194</v>
      </c>
      <c r="BA294" t="s">
        <v>200</v>
      </c>
      <c r="BB294" t="s">
        <v>201</v>
      </c>
      <c r="BD294" t="s">
        <v>200</v>
      </c>
      <c r="BE294" t="s">
        <v>244</v>
      </c>
      <c r="BF294" t="s">
        <v>197</v>
      </c>
      <c r="BG294" t="s">
        <v>238</v>
      </c>
      <c r="BH294">
        <v>5</v>
      </c>
      <c r="BJ294" t="s">
        <v>205</v>
      </c>
      <c r="BK294" t="s">
        <v>206</v>
      </c>
      <c r="BL294" t="s">
        <v>194</v>
      </c>
      <c r="BO294" t="s">
        <v>200</v>
      </c>
      <c r="BP294" t="s">
        <v>200</v>
      </c>
      <c r="BQ294" s="2">
        <v>44805</v>
      </c>
      <c r="BR294" t="s">
        <v>232</v>
      </c>
      <c r="BT294" t="s">
        <v>197</v>
      </c>
      <c r="BV294" t="s">
        <v>471</v>
      </c>
      <c r="BW294" t="s">
        <v>416</v>
      </c>
      <c r="BX294" t="s">
        <v>539</v>
      </c>
      <c r="BY294" t="s">
        <v>534</v>
      </c>
      <c r="BZ294" t="s">
        <v>845</v>
      </c>
      <c r="CA294" t="s">
        <v>214</v>
      </c>
      <c r="CB294" t="s">
        <v>214</v>
      </c>
      <c r="CF294" t="s">
        <v>215</v>
      </c>
      <c r="CH294" t="s">
        <v>214</v>
      </c>
      <c r="CI294" t="s">
        <v>214</v>
      </c>
      <c r="CJ294" t="s">
        <v>214</v>
      </c>
      <c r="CP294" t="s">
        <v>214</v>
      </c>
      <c r="CS294" t="s">
        <v>216</v>
      </c>
      <c r="CV294" t="s">
        <v>214</v>
      </c>
      <c r="CW294" t="s">
        <v>214</v>
      </c>
      <c r="CX294" t="s">
        <v>217</v>
      </c>
      <c r="CY294" t="s">
        <v>214</v>
      </c>
      <c r="DA294" t="s">
        <v>218</v>
      </c>
    </row>
    <row r="295" spans="1:105" x14ac:dyDescent="0.3">
      <c r="A295">
        <v>1230943</v>
      </c>
      <c r="B295">
        <v>934760</v>
      </c>
      <c r="C295" t="str">
        <f>"120901602375"</f>
        <v>120901602375</v>
      </c>
      <c r="D295" t="s">
        <v>964</v>
      </c>
      <c r="E295" t="s">
        <v>496</v>
      </c>
      <c r="F295" t="s">
        <v>497</v>
      </c>
      <c r="G295" s="1">
        <v>41153</v>
      </c>
      <c r="I295" t="s">
        <v>222</v>
      </c>
      <c r="J295" t="s">
        <v>188</v>
      </c>
      <c r="K295" t="s">
        <v>189</v>
      </c>
      <c r="Y295" t="str">
        <f>"2018-08-06T00:00:00"</f>
        <v>2018-08-06T00:00:00</v>
      </c>
      <c r="Z295" t="str">
        <f>"№19"</f>
        <v>№19</v>
      </c>
      <c r="AA295" t="s">
        <v>224</v>
      </c>
      <c r="AC295" t="s">
        <v>191</v>
      </c>
      <c r="AD295" t="s">
        <v>285</v>
      </c>
      <c r="AE295" t="s">
        <v>227</v>
      </c>
      <c r="AF295" t="s">
        <v>194</v>
      </c>
      <c r="AH295" t="s">
        <v>195</v>
      </c>
      <c r="AI295">
        <v>2</v>
      </c>
      <c r="AJ295" t="s">
        <v>196</v>
      </c>
      <c r="AK295" t="s">
        <v>194</v>
      </c>
      <c r="AL295" t="s">
        <v>197</v>
      </c>
      <c r="AM295" t="s">
        <v>228</v>
      </c>
      <c r="AR295" t="s">
        <v>194</v>
      </c>
      <c r="AS295" t="s">
        <v>199</v>
      </c>
      <c r="AU295" t="s">
        <v>197</v>
      </c>
      <c r="AZ295" t="s">
        <v>194</v>
      </c>
      <c r="BA295" t="s">
        <v>200</v>
      </c>
      <c r="BB295" t="s">
        <v>201</v>
      </c>
      <c r="BD295" t="s">
        <v>200</v>
      </c>
      <c r="BE295" t="s">
        <v>229</v>
      </c>
      <c r="BF295" t="s">
        <v>197</v>
      </c>
      <c r="BG295" t="s">
        <v>238</v>
      </c>
      <c r="BH295">
        <v>4</v>
      </c>
      <c r="BJ295" t="s">
        <v>205</v>
      </c>
      <c r="BK295" t="s">
        <v>206</v>
      </c>
      <c r="BL295" t="s">
        <v>194</v>
      </c>
      <c r="BO295" t="s">
        <v>216</v>
      </c>
      <c r="BP295" t="s">
        <v>216</v>
      </c>
      <c r="BQ295" t="s">
        <v>286</v>
      </c>
      <c r="BR295" t="s">
        <v>232</v>
      </c>
      <c r="BT295" t="s">
        <v>197</v>
      </c>
      <c r="BV295" t="s">
        <v>233</v>
      </c>
      <c r="CA295" t="s">
        <v>194</v>
      </c>
      <c r="CB295" t="s">
        <v>214</v>
      </c>
      <c r="CF295" t="s">
        <v>215</v>
      </c>
      <c r="CH295" t="s">
        <v>214</v>
      </c>
      <c r="CI295" t="s">
        <v>214</v>
      </c>
      <c r="CJ295" t="s">
        <v>214</v>
      </c>
      <c r="CP295" t="s">
        <v>214</v>
      </c>
      <c r="CS295" t="s">
        <v>216</v>
      </c>
      <c r="CV295" t="s">
        <v>214</v>
      </c>
      <c r="CW295" t="s">
        <v>214</v>
      </c>
      <c r="CX295" t="s">
        <v>217</v>
      </c>
      <c r="CY295" t="s">
        <v>214</v>
      </c>
      <c r="DA295" t="s">
        <v>218</v>
      </c>
    </row>
    <row r="296" spans="1:105" x14ac:dyDescent="0.3">
      <c r="A296">
        <v>1231010</v>
      </c>
      <c r="B296">
        <v>934801</v>
      </c>
      <c r="C296" t="str">
        <f>"120626605771"</f>
        <v>120626605771</v>
      </c>
      <c r="D296" t="s">
        <v>965</v>
      </c>
      <c r="E296" t="s">
        <v>966</v>
      </c>
      <c r="F296" t="s">
        <v>221</v>
      </c>
      <c r="G296" s="1">
        <v>41086</v>
      </c>
      <c r="I296" t="s">
        <v>222</v>
      </c>
      <c r="J296" t="s">
        <v>188</v>
      </c>
      <c r="K296" t="s">
        <v>223</v>
      </c>
      <c r="Y296" t="str">
        <f>"2018-08-15T00:00:00"</f>
        <v>2018-08-15T00:00:00</v>
      </c>
      <c r="Z296" t="str">
        <f>"№20"</f>
        <v>№20</v>
      </c>
      <c r="AA296" t="s">
        <v>224</v>
      </c>
      <c r="AC296" t="s">
        <v>191</v>
      </c>
      <c r="AD296" t="s">
        <v>285</v>
      </c>
      <c r="AE296" t="s">
        <v>193</v>
      </c>
      <c r="AF296" t="s">
        <v>194</v>
      </c>
      <c r="AH296" t="s">
        <v>195</v>
      </c>
      <c r="AI296">
        <v>1</v>
      </c>
      <c r="AJ296" t="s">
        <v>196</v>
      </c>
      <c r="AK296" t="s">
        <v>194</v>
      </c>
      <c r="AL296" t="s">
        <v>197</v>
      </c>
      <c r="AM296" t="s">
        <v>198</v>
      </c>
      <c r="AR296" t="s">
        <v>194</v>
      </c>
      <c r="AS296" t="s">
        <v>199</v>
      </c>
      <c r="AU296" t="s">
        <v>197</v>
      </c>
      <c r="AZ296" t="s">
        <v>194</v>
      </c>
      <c r="BA296" t="s">
        <v>200</v>
      </c>
      <c r="BB296" t="s">
        <v>201</v>
      </c>
      <c r="BD296" t="s">
        <v>200</v>
      </c>
      <c r="BE296" t="s">
        <v>244</v>
      </c>
      <c r="BF296" t="s">
        <v>197</v>
      </c>
      <c r="BG296" t="s">
        <v>269</v>
      </c>
      <c r="BH296" t="s">
        <v>432</v>
      </c>
      <c r="BJ296" t="s">
        <v>205</v>
      </c>
      <c r="BK296" t="s">
        <v>206</v>
      </c>
      <c r="BL296" t="s">
        <v>194</v>
      </c>
      <c r="BO296" t="s">
        <v>216</v>
      </c>
      <c r="BP296" t="s">
        <v>216</v>
      </c>
      <c r="BQ296" t="s">
        <v>286</v>
      </c>
      <c r="BR296" t="s">
        <v>232</v>
      </c>
      <c r="BT296" t="s">
        <v>197</v>
      </c>
      <c r="BV296" t="s">
        <v>233</v>
      </c>
      <c r="CA296" t="s">
        <v>194</v>
      </c>
      <c r="CB296" t="s">
        <v>214</v>
      </c>
      <c r="CF296" t="s">
        <v>215</v>
      </c>
      <c r="CH296" t="s">
        <v>214</v>
      </c>
      <c r="CI296" t="s">
        <v>214</v>
      </c>
      <c r="CJ296" t="s">
        <v>214</v>
      </c>
      <c r="CP296" t="s">
        <v>214</v>
      </c>
      <c r="CS296" t="s">
        <v>216</v>
      </c>
      <c r="CV296" t="s">
        <v>214</v>
      </c>
      <c r="CW296" t="s">
        <v>214</v>
      </c>
      <c r="CX296" t="s">
        <v>217</v>
      </c>
      <c r="CY296" t="s">
        <v>214</v>
      </c>
      <c r="DA296" t="s">
        <v>218</v>
      </c>
    </row>
    <row r="297" spans="1:105" x14ac:dyDescent="0.3">
      <c r="A297">
        <v>10317055</v>
      </c>
      <c r="B297">
        <v>7381699</v>
      </c>
      <c r="C297" t="str">
        <f>"110106505548"</f>
        <v>110106505548</v>
      </c>
      <c r="D297" t="s">
        <v>967</v>
      </c>
      <c r="E297" t="s">
        <v>968</v>
      </c>
      <c r="F297" t="s">
        <v>605</v>
      </c>
      <c r="G297" s="1">
        <v>40549</v>
      </c>
      <c r="I297" t="s">
        <v>187</v>
      </c>
      <c r="J297" t="s">
        <v>188</v>
      </c>
      <c r="K297" t="s">
        <v>223</v>
      </c>
      <c r="Y297" t="str">
        <f>"2018-09-12T00:00:00"</f>
        <v>2018-09-12T00:00:00</v>
      </c>
      <c r="Z297" t="str">
        <f>"31"</f>
        <v>31</v>
      </c>
      <c r="AA297" t="s">
        <v>190</v>
      </c>
      <c r="AC297" t="s">
        <v>225</v>
      </c>
      <c r="AD297" t="s">
        <v>285</v>
      </c>
      <c r="AE297" t="s">
        <v>243</v>
      </c>
      <c r="AF297" t="s">
        <v>194</v>
      </c>
      <c r="AH297" t="s">
        <v>195</v>
      </c>
      <c r="AI297">
        <v>2</v>
      </c>
      <c r="AJ297" t="s">
        <v>196</v>
      </c>
      <c r="AK297" t="s">
        <v>194</v>
      </c>
      <c r="AL297" t="s">
        <v>197</v>
      </c>
      <c r="AM297" t="s">
        <v>228</v>
      </c>
      <c r="AR297" t="s">
        <v>194</v>
      </c>
      <c r="AS297" t="s">
        <v>199</v>
      </c>
      <c r="AU297" t="s">
        <v>197</v>
      </c>
      <c r="AZ297" t="s">
        <v>194</v>
      </c>
      <c r="BA297" t="s">
        <v>200</v>
      </c>
      <c r="BB297" t="s">
        <v>201</v>
      </c>
      <c r="BD297" t="s">
        <v>200</v>
      </c>
      <c r="BE297" t="s">
        <v>229</v>
      </c>
      <c r="BF297" t="s">
        <v>197</v>
      </c>
      <c r="BG297" t="s">
        <v>269</v>
      </c>
      <c r="BH297" t="s">
        <v>591</v>
      </c>
      <c r="BJ297" t="s">
        <v>205</v>
      </c>
      <c r="BK297" t="s">
        <v>206</v>
      </c>
      <c r="BL297" t="s">
        <v>194</v>
      </c>
      <c r="BO297" t="s">
        <v>200</v>
      </c>
      <c r="BP297" t="s">
        <v>200</v>
      </c>
      <c r="BQ297" t="s">
        <v>286</v>
      </c>
      <c r="BR297" t="s">
        <v>232</v>
      </c>
      <c r="BT297" t="s">
        <v>197</v>
      </c>
      <c r="BV297" t="s">
        <v>233</v>
      </c>
      <c r="CA297" t="s">
        <v>194</v>
      </c>
      <c r="CB297" t="s">
        <v>194</v>
      </c>
      <c r="CC297" t="s">
        <v>264</v>
      </c>
      <c r="CD297" t="s">
        <v>265</v>
      </c>
      <c r="CE297" t="s">
        <v>266</v>
      </c>
      <c r="CF297" t="s">
        <v>215</v>
      </c>
      <c r="CH297" t="s">
        <v>214</v>
      </c>
      <c r="CI297" t="s">
        <v>214</v>
      </c>
      <c r="CJ297" t="s">
        <v>214</v>
      </c>
      <c r="CP297" t="s">
        <v>214</v>
      </c>
      <c r="CS297" t="s">
        <v>216</v>
      </c>
      <c r="CV297" t="s">
        <v>214</v>
      </c>
      <c r="CW297" t="s">
        <v>214</v>
      </c>
      <c r="CX297" t="s">
        <v>217</v>
      </c>
      <c r="CY297" t="s">
        <v>214</v>
      </c>
      <c r="DA297" t="s">
        <v>218</v>
      </c>
    </row>
    <row r="298" spans="1:105" x14ac:dyDescent="0.3">
      <c r="A298">
        <v>10319547</v>
      </c>
      <c r="B298">
        <v>6238450</v>
      </c>
      <c r="C298" t="str">
        <f>"100804550040"</f>
        <v>100804550040</v>
      </c>
      <c r="D298" t="s">
        <v>969</v>
      </c>
      <c r="E298" t="s">
        <v>258</v>
      </c>
      <c r="F298" t="s">
        <v>268</v>
      </c>
      <c r="G298" s="1">
        <v>40394</v>
      </c>
      <c r="I298" t="s">
        <v>222</v>
      </c>
      <c r="J298" t="s">
        <v>188</v>
      </c>
      <c r="K298" t="s">
        <v>223</v>
      </c>
      <c r="Y298" t="str">
        <f>"2017-08-26T00:00:00"</f>
        <v>2017-08-26T00:00:00</v>
      </c>
      <c r="Z298" t="str">
        <f>"№04"</f>
        <v>№04</v>
      </c>
      <c r="AA298" t="s">
        <v>224</v>
      </c>
      <c r="AC298" t="s">
        <v>255</v>
      </c>
      <c r="AD298" t="s">
        <v>261</v>
      </c>
      <c r="AE298" t="s">
        <v>243</v>
      </c>
      <c r="AF298" t="s">
        <v>194</v>
      </c>
      <c r="AH298" t="s">
        <v>195</v>
      </c>
      <c r="AI298">
        <v>1</v>
      </c>
      <c r="AJ298" t="s">
        <v>196</v>
      </c>
      <c r="AK298" t="s">
        <v>194</v>
      </c>
      <c r="AL298" t="s">
        <v>197</v>
      </c>
      <c r="AM298" t="s">
        <v>228</v>
      </c>
      <c r="AR298" t="s">
        <v>194</v>
      </c>
      <c r="AS298" t="s">
        <v>199</v>
      </c>
      <c r="AU298" t="s">
        <v>197</v>
      </c>
      <c r="AZ298" t="s">
        <v>194</v>
      </c>
      <c r="BA298" t="s">
        <v>200</v>
      </c>
      <c r="BB298" t="s">
        <v>201</v>
      </c>
      <c r="BD298" t="s">
        <v>200</v>
      </c>
      <c r="BE298" t="s">
        <v>244</v>
      </c>
      <c r="BF298" t="s">
        <v>197</v>
      </c>
      <c r="BG298" t="s">
        <v>269</v>
      </c>
      <c r="BH298" t="s">
        <v>432</v>
      </c>
      <c r="BJ298" t="s">
        <v>205</v>
      </c>
      <c r="BK298" t="s">
        <v>206</v>
      </c>
      <c r="BL298" t="s">
        <v>194</v>
      </c>
      <c r="BO298" t="s">
        <v>216</v>
      </c>
      <c r="BP298" t="s">
        <v>216</v>
      </c>
      <c r="BQ298" t="s">
        <v>731</v>
      </c>
      <c r="BR298" t="s">
        <v>232</v>
      </c>
      <c r="BT298" t="s">
        <v>197</v>
      </c>
      <c r="BV298" t="s">
        <v>233</v>
      </c>
      <c r="CA298" t="s">
        <v>194</v>
      </c>
      <c r="CB298" t="s">
        <v>214</v>
      </c>
      <c r="CF298" t="s">
        <v>215</v>
      </c>
      <c r="CH298" t="s">
        <v>214</v>
      </c>
      <c r="CI298" t="s">
        <v>214</v>
      </c>
      <c r="CJ298" t="s">
        <v>214</v>
      </c>
      <c r="CP298" t="s">
        <v>214</v>
      </c>
      <c r="CS298" t="s">
        <v>216</v>
      </c>
      <c r="CV298" t="s">
        <v>214</v>
      </c>
      <c r="CW298" t="s">
        <v>214</v>
      </c>
      <c r="CX298" t="s">
        <v>217</v>
      </c>
      <c r="CY298" t="s">
        <v>214</v>
      </c>
      <c r="DA298" t="s">
        <v>218</v>
      </c>
    </row>
    <row r="299" spans="1:105" x14ac:dyDescent="0.3">
      <c r="A299">
        <v>12560122</v>
      </c>
      <c r="B299">
        <v>934510</v>
      </c>
      <c r="C299" t="str">
        <f>"110807604299"</f>
        <v>110807604299</v>
      </c>
      <c r="D299" t="s">
        <v>970</v>
      </c>
      <c r="E299" t="s">
        <v>971</v>
      </c>
      <c r="F299" t="s">
        <v>972</v>
      </c>
      <c r="G299" s="1">
        <v>40762</v>
      </c>
      <c r="I299" t="s">
        <v>222</v>
      </c>
      <c r="J299" t="s">
        <v>188</v>
      </c>
      <c r="K299" t="s">
        <v>189</v>
      </c>
      <c r="Y299" t="str">
        <f>"2019-08-29T00:00:00"</f>
        <v>2019-08-29T00:00:00</v>
      </c>
      <c r="Z299" t="str">
        <f>"32"</f>
        <v>32</v>
      </c>
      <c r="AA299" t="s">
        <v>190</v>
      </c>
      <c r="AC299" t="s">
        <v>191</v>
      </c>
      <c r="AD299" t="s">
        <v>285</v>
      </c>
      <c r="AE299" t="s">
        <v>243</v>
      </c>
      <c r="AF299" t="s">
        <v>194</v>
      </c>
      <c r="AH299" t="s">
        <v>195</v>
      </c>
      <c r="AI299">
        <v>2</v>
      </c>
      <c r="AJ299" t="s">
        <v>196</v>
      </c>
      <c r="AK299" t="s">
        <v>194</v>
      </c>
      <c r="AL299" t="s">
        <v>197</v>
      </c>
      <c r="AM299" t="s">
        <v>228</v>
      </c>
      <c r="AR299" t="s">
        <v>194</v>
      </c>
      <c r="AS299" t="s">
        <v>199</v>
      </c>
      <c r="AU299" t="s">
        <v>197</v>
      </c>
      <c r="AZ299" t="s">
        <v>194</v>
      </c>
      <c r="BA299" t="s">
        <v>200</v>
      </c>
      <c r="BB299" t="s">
        <v>201</v>
      </c>
      <c r="BC299" t="s">
        <v>317</v>
      </c>
      <c r="BD299" t="s">
        <v>200</v>
      </c>
      <c r="BE299" t="s">
        <v>229</v>
      </c>
      <c r="BF299" t="s">
        <v>197</v>
      </c>
      <c r="BG299" t="s">
        <v>269</v>
      </c>
      <c r="BH299" t="s">
        <v>270</v>
      </c>
      <c r="BJ299" t="s">
        <v>205</v>
      </c>
      <c r="BK299" t="s">
        <v>206</v>
      </c>
      <c r="BL299" t="s">
        <v>194</v>
      </c>
      <c r="BO299" t="s">
        <v>200</v>
      </c>
      <c r="BP299" t="s">
        <v>200</v>
      </c>
      <c r="BQ299" t="s">
        <v>280</v>
      </c>
      <c r="BR299" t="s">
        <v>232</v>
      </c>
      <c r="BT299" t="s">
        <v>197</v>
      </c>
      <c r="BV299" t="s">
        <v>233</v>
      </c>
      <c r="CA299" t="s">
        <v>194</v>
      </c>
      <c r="CB299" t="s">
        <v>194</v>
      </c>
      <c r="CC299" t="s">
        <v>264</v>
      </c>
      <c r="CD299" t="s">
        <v>265</v>
      </c>
      <c r="CE299" t="s">
        <v>266</v>
      </c>
      <c r="CF299" t="s">
        <v>215</v>
      </c>
      <c r="CH299" t="s">
        <v>214</v>
      </c>
      <c r="CI299" t="s">
        <v>214</v>
      </c>
      <c r="CJ299" t="s">
        <v>214</v>
      </c>
      <c r="CP299" t="s">
        <v>214</v>
      </c>
      <c r="CS299" t="s">
        <v>216</v>
      </c>
      <c r="CV299" t="s">
        <v>214</v>
      </c>
      <c r="CW299" t="s">
        <v>214</v>
      </c>
      <c r="CX299" t="s">
        <v>217</v>
      </c>
      <c r="CY299" t="s">
        <v>214</v>
      </c>
      <c r="DA299" t="s">
        <v>218</v>
      </c>
    </row>
    <row r="300" spans="1:105" x14ac:dyDescent="0.3">
      <c r="A300">
        <v>12571555</v>
      </c>
      <c r="B300">
        <v>5993797</v>
      </c>
      <c r="C300" t="str">
        <f>"110811604201"</f>
        <v>110811604201</v>
      </c>
      <c r="D300" t="s">
        <v>973</v>
      </c>
      <c r="E300" t="s">
        <v>371</v>
      </c>
      <c r="F300" t="s">
        <v>464</v>
      </c>
      <c r="G300" s="1">
        <v>40766</v>
      </c>
      <c r="I300" t="s">
        <v>222</v>
      </c>
      <c r="J300" t="s">
        <v>188</v>
      </c>
      <c r="K300" t="s">
        <v>223</v>
      </c>
      <c r="Y300" t="str">
        <f>"2019-08-29T00:00:00"</f>
        <v>2019-08-29T00:00:00</v>
      </c>
      <c r="Z300" t="str">
        <f>"32"</f>
        <v>32</v>
      </c>
      <c r="AA300" t="s">
        <v>190</v>
      </c>
      <c r="AC300" t="s">
        <v>191</v>
      </c>
      <c r="AD300" t="s">
        <v>285</v>
      </c>
      <c r="AE300" t="s">
        <v>243</v>
      </c>
      <c r="AF300" t="s">
        <v>194</v>
      </c>
      <c r="AH300" t="s">
        <v>195</v>
      </c>
      <c r="AI300">
        <v>2</v>
      </c>
      <c r="AJ300" t="s">
        <v>196</v>
      </c>
      <c r="AK300" t="s">
        <v>194</v>
      </c>
      <c r="AL300" t="s">
        <v>197</v>
      </c>
      <c r="AM300" t="s">
        <v>228</v>
      </c>
      <c r="AR300" t="s">
        <v>194</v>
      </c>
      <c r="AS300" t="s">
        <v>199</v>
      </c>
      <c r="AU300" t="s">
        <v>197</v>
      </c>
      <c r="AZ300" t="s">
        <v>194</v>
      </c>
      <c r="BA300" t="s">
        <v>200</v>
      </c>
      <c r="BB300" t="s">
        <v>201</v>
      </c>
      <c r="BD300" t="s">
        <v>200</v>
      </c>
      <c r="BE300" t="s">
        <v>229</v>
      </c>
      <c r="BF300" t="s">
        <v>197</v>
      </c>
      <c r="BG300" t="s">
        <v>269</v>
      </c>
      <c r="BH300" t="s">
        <v>270</v>
      </c>
      <c r="BJ300" t="s">
        <v>205</v>
      </c>
      <c r="BK300" t="s">
        <v>206</v>
      </c>
      <c r="BL300" t="s">
        <v>194</v>
      </c>
      <c r="BO300" t="s">
        <v>216</v>
      </c>
      <c r="BP300" t="s">
        <v>216</v>
      </c>
      <c r="BQ300" t="s">
        <v>280</v>
      </c>
      <c r="BR300" t="s">
        <v>232</v>
      </c>
      <c r="BT300" t="s">
        <v>197</v>
      </c>
      <c r="BV300" t="s">
        <v>233</v>
      </c>
      <c r="CA300" t="s">
        <v>194</v>
      </c>
      <c r="CB300" t="s">
        <v>194</v>
      </c>
      <c r="CC300" t="s">
        <v>264</v>
      </c>
      <c r="CD300" t="s">
        <v>265</v>
      </c>
      <c r="CE300" t="s">
        <v>266</v>
      </c>
      <c r="CF300" t="s">
        <v>215</v>
      </c>
      <c r="CH300" t="s">
        <v>214</v>
      </c>
      <c r="CI300" t="s">
        <v>214</v>
      </c>
      <c r="CJ300" t="s">
        <v>214</v>
      </c>
      <c r="CP300" t="s">
        <v>214</v>
      </c>
      <c r="CS300" t="s">
        <v>216</v>
      </c>
      <c r="CV300" t="s">
        <v>214</v>
      </c>
      <c r="CW300" t="s">
        <v>214</v>
      </c>
      <c r="CX300" t="s">
        <v>217</v>
      </c>
      <c r="CY300" t="s">
        <v>214</v>
      </c>
      <c r="DA300" t="s">
        <v>218</v>
      </c>
    </row>
    <row r="301" spans="1:105" x14ac:dyDescent="0.3">
      <c r="A301">
        <v>12594998</v>
      </c>
      <c r="B301">
        <v>6302036</v>
      </c>
      <c r="C301" t="str">
        <f>"100927653803"</f>
        <v>100927653803</v>
      </c>
      <c r="D301" t="s">
        <v>974</v>
      </c>
      <c r="E301" t="s">
        <v>975</v>
      </c>
      <c r="F301" t="s">
        <v>976</v>
      </c>
      <c r="G301" s="1">
        <v>40448</v>
      </c>
      <c r="I301" t="s">
        <v>222</v>
      </c>
      <c r="J301" t="s">
        <v>188</v>
      </c>
      <c r="K301" t="s">
        <v>189</v>
      </c>
      <c r="Y301" t="str">
        <f>"2019-08-29T00:00:00"</f>
        <v>2019-08-29T00:00:00</v>
      </c>
      <c r="Z301" t="str">
        <f>"32"</f>
        <v>32</v>
      </c>
      <c r="AA301" t="s">
        <v>835</v>
      </c>
      <c r="AC301" t="s">
        <v>237</v>
      </c>
      <c r="AD301" t="s">
        <v>261</v>
      </c>
      <c r="AE301" t="s">
        <v>243</v>
      </c>
      <c r="AF301" t="s">
        <v>194</v>
      </c>
      <c r="AH301" t="s">
        <v>195</v>
      </c>
      <c r="AI301">
        <v>2</v>
      </c>
      <c r="AJ301" t="s">
        <v>196</v>
      </c>
      <c r="AK301" t="s">
        <v>194</v>
      </c>
      <c r="AL301" t="s">
        <v>197</v>
      </c>
      <c r="AM301" t="s">
        <v>811</v>
      </c>
      <c r="AQ301" t="str">
        <f>"2021-02-05T08:38:56"</f>
        <v>2021-02-05T08:38:56</v>
      </c>
      <c r="AR301" t="s">
        <v>214</v>
      </c>
      <c r="AU301" t="s">
        <v>197</v>
      </c>
      <c r="AZ301" t="s">
        <v>194</v>
      </c>
      <c r="BA301" t="s">
        <v>200</v>
      </c>
      <c r="BB301" t="s">
        <v>201</v>
      </c>
      <c r="BD301" t="s">
        <v>200</v>
      </c>
      <c r="BE301" t="s">
        <v>202</v>
      </c>
      <c r="BF301" t="s">
        <v>197</v>
      </c>
      <c r="BG301" t="s">
        <v>230</v>
      </c>
      <c r="BH301" t="s">
        <v>400</v>
      </c>
      <c r="BJ301" t="s">
        <v>205</v>
      </c>
      <c r="BK301" t="s">
        <v>206</v>
      </c>
      <c r="BL301" t="s">
        <v>194</v>
      </c>
      <c r="BO301" t="s">
        <v>200</v>
      </c>
      <c r="BP301" t="s">
        <v>200</v>
      </c>
      <c r="BR301" t="s">
        <v>232</v>
      </c>
      <c r="BT301" t="s">
        <v>197</v>
      </c>
      <c r="BV301" t="s">
        <v>233</v>
      </c>
      <c r="CA301" t="s">
        <v>194</v>
      </c>
      <c r="CB301" t="s">
        <v>214</v>
      </c>
      <c r="CF301" t="s">
        <v>215</v>
      </c>
      <c r="CH301" t="s">
        <v>214</v>
      </c>
      <c r="CI301" t="s">
        <v>214</v>
      </c>
      <c r="CJ301" t="s">
        <v>214</v>
      </c>
      <c r="CP301" t="s">
        <v>214</v>
      </c>
      <c r="CS301" t="s">
        <v>216</v>
      </c>
      <c r="CV301" t="s">
        <v>214</v>
      </c>
      <c r="CW301" t="s">
        <v>214</v>
      </c>
      <c r="CX301" t="s">
        <v>217</v>
      </c>
      <c r="CY301" t="s">
        <v>214</v>
      </c>
      <c r="DA301" t="s">
        <v>218</v>
      </c>
    </row>
    <row r="302" spans="1:105" x14ac:dyDescent="0.3">
      <c r="A302">
        <v>14009823</v>
      </c>
      <c r="B302">
        <v>933808</v>
      </c>
      <c r="C302" t="str">
        <f>"100922654983"</f>
        <v>100922654983</v>
      </c>
      <c r="D302" t="s">
        <v>977</v>
      </c>
      <c r="E302" t="s">
        <v>978</v>
      </c>
      <c r="F302" t="s">
        <v>979</v>
      </c>
      <c r="G302" s="1">
        <v>40443</v>
      </c>
      <c r="I302" t="s">
        <v>222</v>
      </c>
      <c r="J302" t="s">
        <v>188</v>
      </c>
      <c r="K302" t="s">
        <v>189</v>
      </c>
      <c r="Y302" t="str">
        <f>"2019-08-29T00:00:00"</f>
        <v>2019-08-29T00:00:00</v>
      </c>
      <c r="Z302" t="str">
        <f>"32"</f>
        <v>32</v>
      </c>
      <c r="AA302" t="s">
        <v>190</v>
      </c>
      <c r="AC302" t="s">
        <v>191</v>
      </c>
      <c r="AD302" t="s">
        <v>261</v>
      </c>
      <c r="AE302" t="s">
        <v>227</v>
      </c>
      <c r="AF302" t="s">
        <v>194</v>
      </c>
      <c r="AH302" t="s">
        <v>195</v>
      </c>
      <c r="AI302">
        <v>2</v>
      </c>
      <c r="AJ302" t="s">
        <v>196</v>
      </c>
      <c r="AK302" t="s">
        <v>194</v>
      </c>
      <c r="AL302" t="s">
        <v>197</v>
      </c>
      <c r="AM302" t="s">
        <v>228</v>
      </c>
      <c r="AR302" t="s">
        <v>194</v>
      </c>
      <c r="AS302" t="s">
        <v>199</v>
      </c>
      <c r="AU302" t="s">
        <v>197</v>
      </c>
      <c r="AZ302" t="s">
        <v>194</v>
      </c>
      <c r="BA302" t="s">
        <v>200</v>
      </c>
      <c r="BB302" t="s">
        <v>201</v>
      </c>
      <c r="BD302" t="s">
        <v>200</v>
      </c>
      <c r="BE302" t="s">
        <v>229</v>
      </c>
      <c r="BF302" t="s">
        <v>197</v>
      </c>
      <c r="BG302" t="s">
        <v>230</v>
      </c>
      <c r="BH302" t="s">
        <v>307</v>
      </c>
      <c r="BJ302" t="s">
        <v>205</v>
      </c>
      <c r="BK302" t="s">
        <v>206</v>
      </c>
      <c r="BL302" t="s">
        <v>194</v>
      </c>
      <c r="BO302" t="s">
        <v>216</v>
      </c>
      <c r="BP302" t="s">
        <v>216</v>
      </c>
      <c r="BQ302" t="s">
        <v>286</v>
      </c>
      <c r="BR302" t="s">
        <v>232</v>
      </c>
      <c r="BT302" t="s">
        <v>197</v>
      </c>
      <c r="BV302" t="s">
        <v>233</v>
      </c>
      <c r="CA302" t="s">
        <v>194</v>
      </c>
      <c r="CB302" t="s">
        <v>214</v>
      </c>
      <c r="CF302" t="s">
        <v>215</v>
      </c>
      <c r="CH302" t="s">
        <v>214</v>
      </c>
      <c r="CI302" t="s">
        <v>214</v>
      </c>
      <c r="CJ302" t="s">
        <v>214</v>
      </c>
      <c r="CP302" t="s">
        <v>214</v>
      </c>
      <c r="CS302" t="s">
        <v>216</v>
      </c>
      <c r="CV302" t="s">
        <v>214</v>
      </c>
      <c r="CW302" t="s">
        <v>214</v>
      </c>
      <c r="CX302" t="s">
        <v>217</v>
      </c>
      <c r="CY302" t="s">
        <v>214</v>
      </c>
      <c r="DA302" t="s">
        <v>218</v>
      </c>
    </row>
    <row r="303" spans="1:105" x14ac:dyDescent="0.3">
      <c r="A303">
        <v>13551400</v>
      </c>
      <c r="B303">
        <v>6473091</v>
      </c>
      <c r="C303" t="str">
        <f>"111125601072"</f>
        <v>111125601072</v>
      </c>
      <c r="D303" t="s">
        <v>812</v>
      </c>
      <c r="E303" t="s">
        <v>667</v>
      </c>
      <c r="F303" t="s">
        <v>336</v>
      </c>
      <c r="G303" s="1">
        <v>40872</v>
      </c>
      <c r="I303" t="s">
        <v>222</v>
      </c>
      <c r="J303" t="s">
        <v>188</v>
      </c>
      <c r="K303" t="s">
        <v>223</v>
      </c>
      <c r="Y303" t="str">
        <f>"2019-08-05T00:00:00"</f>
        <v>2019-08-05T00:00:00</v>
      </c>
      <c r="Z303" t="str">
        <f>"№29"</f>
        <v>№29</v>
      </c>
      <c r="AA303" t="s">
        <v>190</v>
      </c>
      <c r="AC303" t="s">
        <v>225</v>
      </c>
      <c r="AD303" t="s">
        <v>615</v>
      </c>
      <c r="AE303" t="s">
        <v>227</v>
      </c>
      <c r="AF303" t="s">
        <v>194</v>
      </c>
      <c r="AH303" t="s">
        <v>195</v>
      </c>
      <c r="AI303">
        <v>1</v>
      </c>
      <c r="AJ303" t="s">
        <v>196</v>
      </c>
      <c r="AK303" t="s">
        <v>194</v>
      </c>
      <c r="AL303" t="s">
        <v>197</v>
      </c>
      <c r="AM303" t="s">
        <v>198</v>
      </c>
      <c r="AR303" t="s">
        <v>194</v>
      </c>
      <c r="AS303" t="s">
        <v>199</v>
      </c>
      <c r="AU303" t="s">
        <v>197</v>
      </c>
      <c r="AZ303" t="s">
        <v>194</v>
      </c>
      <c r="BA303" t="s">
        <v>200</v>
      </c>
      <c r="BB303" t="s">
        <v>201</v>
      </c>
      <c r="BC303" t="s">
        <v>317</v>
      </c>
      <c r="BD303" t="s">
        <v>200</v>
      </c>
      <c r="BE303" t="s">
        <v>244</v>
      </c>
      <c r="BF303" t="s">
        <v>197</v>
      </c>
      <c r="BG303" t="s">
        <v>238</v>
      </c>
      <c r="BH303">
        <v>5</v>
      </c>
      <c r="BJ303" t="s">
        <v>205</v>
      </c>
      <c r="BK303" t="s">
        <v>206</v>
      </c>
      <c r="BL303" t="s">
        <v>214</v>
      </c>
      <c r="BO303" t="s">
        <v>200</v>
      </c>
      <c r="BP303" t="s">
        <v>200</v>
      </c>
      <c r="BQ303" s="3">
        <v>45566</v>
      </c>
      <c r="BR303" t="s">
        <v>232</v>
      </c>
      <c r="BT303" t="s">
        <v>197</v>
      </c>
      <c r="BV303" t="s">
        <v>471</v>
      </c>
      <c r="BW303" t="s">
        <v>416</v>
      </c>
      <c r="BX303" t="s">
        <v>539</v>
      </c>
      <c r="BY303" t="s">
        <v>534</v>
      </c>
      <c r="BZ303" t="s">
        <v>845</v>
      </c>
      <c r="CA303" t="s">
        <v>194</v>
      </c>
      <c r="CB303" t="s">
        <v>214</v>
      </c>
      <c r="CF303" t="s">
        <v>215</v>
      </c>
      <c r="CH303" t="s">
        <v>214</v>
      </c>
      <c r="CI303" t="s">
        <v>214</v>
      </c>
      <c r="CJ303" t="s">
        <v>214</v>
      </c>
      <c r="CP303" t="s">
        <v>214</v>
      </c>
      <c r="CS303" t="s">
        <v>216</v>
      </c>
      <c r="CV303" t="s">
        <v>214</v>
      </c>
      <c r="CW303" t="s">
        <v>214</v>
      </c>
      <c r="CX303" t="s">
        <v>217</v>
      </c>
      <c r="CY303" t="s">
        <v>214</v>
      </c>
      <c r="DA303" t="s">
        <v>218</v>
      </c>
    </row>
    <row r="304" spans="1:105" x14ac:dyDescent="0.3">
      <c r="A304">
        <v>14114718</v>
      </c>
      <c r="B304">
        <v>6525084</v>
      </c>
      <c r="C304" t="str">
        <f>"081208650281"</f>
        <v>081208650281</v>
      </c>
      <c r="D304" t="s">
        <v>980</v>
      </c>
      <c r="E304" t="s">
        <v>981</v>
      </c>
      <c r="F304" t="s">
        <v>982</v>
      </c>
      <c r="G304" s="1">
        <v>39790</v>
      </c>
      <c r="I304" t="s">
        <v>222</v>
      </c>
      <c r="J304" t="s">
        <v>188</v>
      </c>
      <c r="K304" t="s">
        <v>189</v>
      </c>
      <c r="Y304" t="str">
        <f>"2019-11-08T00:00:00"</f>
        <v>2019-11-08T00:00:00</v>
      </c>
      <c r="Z304" t="str">
        <f>"56"</f>
        <v>56</v>
      </c>
      <c r="AA304" t="s">
        <v>835</v>
      </c>
      <c r="AC304" t="s">
        <v>237</v>
      </c>
      <c r="AD304" t="s">
        <v>226</v>
      </c>
      <c r="AE304" t="s">
        <v>227</v>
      </c>
      <c r="AF304" t="s">
        <v>194</v>
      </c>
      <c r="AH304" t="s">
        <v>195</v>
      </c>
      <c r="AI304">
        <v>2</v>
      </c>
      <c r="AJ304" t="s">
        <v>196</v>
      </c>
      <c r="AK304" t="s">
        <v>194</v>
      </c>
      <c r="AL304" t="s">
        <v>197</v>
      </c>
      <c r="AM304" t="s">
        <v>228</v>
      </c>
      <c r="AR304" t="s">
        <v>194</v>
      </c>
      <c r="AS304" t="s">
        <v>199</v>
      </c>
      <c r="AU304" t="s">
        <v>197</v>
      </c>
      <c r="AZ304" t="s">
        <v>194</v>
      </c>
      <c r="BA304" t="s">
        <v>200</v>
      </c>
      <c r="BB304" t="s">
        <v>201</v>
      </c>
      <c r="BD304" t="s">
        <v>200</v>
      </c>
      <c r="BE304" t="s">
        <v>229</v>
      </c>
      <c r="BF304" t="s">
        <v>197</v>
      </c>
      <c r="BG304" t="s">
        <v>230</v>
      </c>
      <c r="BH304" t="s">
        <v>307</v>
      </c>
      <c r="BJ304" t="s">
        <v>205</v>
      </c>
      <c r="BK304" t="s">
        <v>206</v>
      </c>
      <c r="BL304" t="s">
        <v>194</v>
      </c>
      <c r="BO304" t="s">
        <v>200</v>
      </c>
      <c r="BP304" t="s">
        <v>200</v>
      </c>
      <c r="BR304" t="s">
        <v>232</v>
      </c>
      <c r="BT304" t="s">
        <v>197</v>
      </c>
      <c r="BV304" t="s">
        <v>233</v>
      </c>
      <c r="CA304" t="s">
        <v>194</v>
      </c>
      <c r="CB304" t="s">
        <v>214</v>
      </c>
      <c r="CF304" t="s">
        <v>215</v>
      </c>
      <c r="CH304" t="s">
        <v>214</v>
      </c>
      <c r="CI304" t="s">
        <v>214</v>
      </c>
      <c r="CJ304" t="s">
        <v>214</v>
      </c>
      <c r="CP304" t="s">
        <v>214</v>
      </c>
      <c r="CS304" t="s">
        <v>216</v>
      </c>
      <c r="CV304" t="s">
        <v>214</v>
      </c>
      <c r="CW304" t="s">
        <v>214</v>
      </c>
      <c r="CX304" t="s">
        <v>217</v>
      </c>
      <c r="CY304" t="s">
        <v>214</v>
      </c>
      <c r="DA304" t="s">
        <v>218</v>
      </c>
    </row>
    <row r="305" spans="1:105" x14ac:dyDescent="0.3">
      <c r="A305">
        <v>14153147</v>
      </c>
      <c r="B305">
        <v>78096</v>
      </c>
      <c r="C305" t="str">
        <f>"070304651623"</f>
        <v>070304651623</v>
      </c>
      <c r="D305" t="s">
        <v>983</v>
      </c>
      <c r="E305" t="s">
        <v>984</v>
      </c>
      <c r="F305" t="s">
        <v>379</v>
      </c>
      <c r="G305" s="1">
        <v>39145</v>
      </c>
      <c r="I305" t="s">
        <v>222</v>
      </c>
      <c r="J305" t="s">
        <v>188</v>
      </c>
      <c r="K305" t="s">
        <v>345</v>
      </c>
      <c r="Y305" t="str">
        <f>"2019-11-18T00:00:00"</f>
        <v>2019-11-18T00:00:00</v>
      </c>
      <c r="Z305" t="str">
        <f>"59"</f>
        <v>59</v>
      </c>
      <c r="AA305" t="s">
        <v>835</v>
      </c>
      <c r="AB305" t="str">
        <f>"akm_arshalu_novoaleksandrovka@mail.ru"</f>
        <v>akm_arshalu_novoaleksandrovka@mail.ru</v>
      </c>
      <c r="AC305" t="s">
        <v>237</v>
      </c>
      <c r="AD305" t="s">
        <v>192</v>
      </c>
      <c r="AE305" t="s">
        <v>227</v>
      </c>
      <c r="AF305" t="s">
        <v>194</v>
      </c>
      <c r="AH305" t="s">
        <v>195</v>
      </c>
      <c r="AI305">
        <v>2</v>
      </c>
      <c r="AJ305" t="s">
        <v>196</v>
      </c>
      <c r="AK305" t="s">
        <v>194</v>
      </c>
      <c r="AL305" t="s">
        <v>197</v>
      </c>
      <c r="AM305" t="s">
        <v>228</v>
      </c>
      <c r="AR305" t="s">
        <v>194</v>
      </c>
      <c r="AS305" t="s">
        <v>199</v>
      </c>
      <c r="AU305" t="s">
        <v>197</v>
      </c>
      <c r="AZ305" t="s">
        <v>194</v>
      </c>
      <c r="BA305" t="s">
        <v>200</v>
      </c>
      <c r="BB305" t="s">
        <v>201</v>
      </c>
      <c r="BD305" t="s">
        <v>200</v>
      </c>
      <c r="BE305" t="s">
        <v>244</v>
      </c>
      <c r="BF305" t="s">
        <v>197</v>
      </c>
      <c r="BG305" t="s">
        <v>290</v>
      </c>
      <c r="BH305" t="s">
        <v>548</v>
      </c>
      <c r="BJ305" t="s">
        <v>205</v>
      </c>
      <c r="BK305" t="s">
        <v>206</v>
      </c>
      <c r="BL305" t="s">
        <v>194</v>
      </c>
      <c r="BO305" t="s">
        <v>216</v>
      </c>
      <c r="BP305" t="s">
        <v>216</v>
      </c>
      <c r="BR305" t="s">
        <v>207</v>
      </c>
      <c r="BS305" t="s">
        <v>208</v>
      </c>
      <c r="BT305" t="s">
        <v>197</v>
      </c>
      <c r="BV305" t="s">
        <v>415</v>
      </c>
      <c r="BW305" t="s">
        <v>416</v>
      </c>
      <c r="BX305" t="s">
        <v>301</v>
      </c>
      <c r="BY305" t="s">
        <v>212</v>
      </c>
      <c r="BZ305" t="s">
        <v>837</v>
      </c>
      <c r="CA305" t="s">
        <v>194</v>
      </c>
      <c r="CB305" t="s">
        <v>214</v>
      </c>
      <c r="CF305" t="s">
        <v>215</v>
      </c>
      <c r="CH305" t="s">
        <v>214</v>
      </c>
      <c r="CI305" t="s">
        <v>214</v>
      </c>
      <c r="CJ305" t="s">
        <v>214</v>
      </c>
      <c r="CP305" t="s">
        <v>214</v>
      </c>
      <c r="CS305" t="s">
        <v>216</v>
      </c>
      <c r="CV305" t="s">
        <v>214</v>
      </c>
      <c r="CW305" t="s">
        <v>214</v>
      </c>
      <c r="CX305" t="s">
        <v>217</v>
      </c>
      <c r="CY305" t="s">
        <v>214</v>
      </c>
      <c r="DA305" t="s">
        <v>218</v>
      </c>
    </row>
    <row r="306" spans="1:105" x14ac:dyDescent="0.3">
      <c r="A306">
        <v>13553600</v>
      </c>
      <c r="B306">
        <v>9044648</v>
      </c>
      <c r="C306" t="str">
        <f>"130219601857"</f>
        <v>130219601857</v>
      </c>
      <c r="D306" t="s">
        <v>985</v>
      </c>
      <c r="E306" t="s">
        <v>326</v>
      </c>
      <c r="F306" t="s">
        <v>986</v>
      </c>
      <c r="G306" s="1">
        <v>41324</v>
      </c>
      <c r="I306" t="s">
        <v>222</v>
      </c>
      <c r="J306" t="s">
        <v>188</v>
      </c>
      <c r="K306" t="s">
        <v>223</v>
      </c>
      <c r="Y306" t="str">
        <f>"2019-08-05T00:00:00"</f>
        <v>2019-08-05T00:00:00</v>
      </c>
      <c r="Z306" t="str">
        <f>"№29"</f>
        <v>№29</v>
      </c>
      <c r="AA306" t="s">
        <v>190</v>
      </c>
      <c r="AC306" t="s">
        <v>225</v>
      </c>
      <c r="AD306" t="s">
        <v>615</v>
      </c>
      <c r="AE306" t="s">
        <v>413</v>
      </c>
      <c r="AF306" t="s">
        <v>194</v>
      </c>
      <c r="AH306" t="s">
        <v>195</v>
      </c>
      <c r="AI306">
        <v>1</v>
      </c>
      <c r="AJ306" t="s">
        <v>196</v>
      </c>
      <c r="AK306" t="s">
        <v>194</v>
      </c>
      <c r="AL306" t="s">
        <v>197</v>
      </c>
      <c r="AM306" t="s">
        <v>198</v>
      </c>
      <c r="AR306" t="s">
        <v>194</v>
      </c>
      <c r="AS306" t="s">
        <v>199</v>
      </c>
      <c r="AU306" t="s">
        <v>197</v>
      </c>
      <c r="AZ306" t="s">
        <v>194</v>
      </c>
      <c r="BA306" t="s">
        <v>200</v>
      </c>
      <c r="BB306" t="s">
        <v>201</v>
      </c>
      <c r="BC306" t="s">
        <v>200</v>
      </c>
      <c r="BE306" t="s">
        <v>244</v>
      </c>
      <c r="BF306" t="s">
        <v>197</v>
      </c>
      <c r="BG306" t="s">
        <v>238</v>
      </c>
      <c r="BH306">
        <v>5</v>
      </c>
      <c r="BJ306" t="s">
        <v>205</v>
      </c>
      <c r="BK306" t="s">
        <v>206</v>
      </c>
      <c r="BL306" t="s">
        <v>214</v>
      </c>
      <c r="BO306" t="s">
        <v>216</v>
      </c>
      <c r="BP306" t="s">
        <v>216</v>
      </c>
      <c r="BQ306" s="3">
        <v>45566</v>
      </c>
      <c r="BR306" t="s">
        <v>232</v>
      </c>
      <c r="BT306" t="s">
        <v>197</v>
      </c>
      <c r="BV306" t="s">
        <v>233</v>
      </c>
      <c r="CA306" t="s">
        <v>194</v>
      </c>
      <c r="CB306" t="s">
        <v>214</v>
      </c>
      <c r="CF306" t="s">
        <v>215</v>
      </c>
      <c r="CH306" t="s">
        <v>214</v>
      </c>
      <c r="CI306" t="s">
        <v>214</v>
      </c>
      <c r="CJ306" t="s">
        <v>214</v>
      </c>
      <c r="CP306" t="s">
        <v>214</v>
      </c>
      <c r="CS306" t="s">
        <v>216</v>
      </c>
      <c r="CV306" t="s">
        <v>214</v>
      </c>
      <c r="CW306" t="s">
        <v>214</v>
      </c>
      <c r="CX306" t="s">
        <v>217</v>
      </c>
      <c r="CY306" t="s">
        <v>214</v>
      </c>
      <c r="DA306" t="s">
        <v>218</v>
      </c>
    </row>
    <row r="307" spans="1:105" x14ac:dyDescent="0.3">
      <c r="A307">
        <v>14157210</v>
      </c>
      <c r="B307">
        <v>46934</v>
      </c>
      <c r="C307" t="str">
        <f>"110901501755"</f>
        <v>110901501755</v>
      </c>
      <c r="D307" t="s">
        <v>987</v>
      </c>
      <c r="E307" t="s">
        <v>988</v>
      </c>
      <c r="F307" t="s">
        <v>989</v>
      </c>
      <c r="G307" s="1">
        <v>40787</v>
      </c>
      <c r="I307" t="s">
        <v>187</v>
      </c>
      <c r="J307" t="s">
        <v>188</v>
      </c>
      <c r="K307" t="s">
        <v>189</v>
      </c>
      <c r="Y307" t="str">
        <f>"2019-11-08T00:00:00"</f>
        <v>2019-11-08T00:00:00</v>
      </c>
      <c r="Z307" t="str">
        <f>"56"</f>
        <v>56</v>
      </c>
      <c r="AA307" t="s">
        <v>190</v>
      </c>
      <c r="AC307" t="s">
        <v>225</v>
      </c>
      <c r="AD307" t="s">
        <v>285</v>
      </c>
      <c r="AE307" t="s">
        <v>243</v>
      </c>
      <c r="AF307" t="s">
        <v>194</v>
      </c>
      <c r="AH307" t="s">
        <v>195</v>
      </c>
      <c r="AI307">
        <v>2</v>
      </c>
      <c r="AJ307" t="s">
        <v>196</v>
      </c>
      <c r="AK307" t="s">
        <v>194</v>
      </c>
      <c r="AL307" t="s">
        <v>197</v>
      </c>
      <c r="AM307" t="s">
        <v>228</v>
      </c>
      <c r="AR307" t="s">
        <v>194</v>
      </c>
      <c r="AS307" t="s">
        <v>199</v>
      </c>
      <c r="AU307" t="s">
        <v>197</v>
      </c>
      <c r="AZ307" t="s">
        <v>194</v>
      </c>
      <c r="BA307" t="s">
        <v>200</v>
      </c>
      <c r="BB307" t="s">
        <v>201</v>
      </c>
      <c r="BD307" t="s">
        <v>200</v>
      </c>
      <c r="BE307" t="s">
        <v>229</v>
      </c>
      <c r="BF307" t="s">
        <v>197</v>
      </c>
      <c r="BG307" t="s">
        <v>269</v>
      </c>
      <c r="BH307" t="s">
        <v>270</v>
      </c>
      <c r="BJ307" t="s">
        <v>205</v>
      </c>
      <c r="BK307" t="s">
        <v>206</v>
      </c>
      <c r="BL307" t="s">
        <v>194</v>
      </c>
      <c r="BO307" t="s">
        <v>216</v>
      </c>
      <c r="BP307" t="s">
        <v>216</v>
      </c>
      <c r="BQ307" s="3">
        <v>45566</v>
      </c>
      <c r="BR307" t="s">
        <v>232</v>
      </c>
      <c r="BT307" t="s">
        <v>197</v>
      </c>
      <c r="BV307" t="s">
        <v>233</v>
      </c>
      <c r="CA307" t="s">
        <v>194</v>
      </c>
      <c r="CB307" t="s">
        <v>214</v>
      </c>
      <c r="CF307" t="s">
        <v>215</v>
      </c>
      <c r="CH307" t="s">
        <v>214</v>
      </c>
      <c r="CI307" t="s">
        <v>214</v>
      </c>
      <c r="CJ307" t="s">
        <v>214</v>
      </c>
      <c r="CP307" t="s">
        <v>214</v>
      </c>
      <c r="CS307" t="s">
        <v>216</v>
      </c>
      <c r="CV307" t="s">
        <v>214</v>
      </c>
      <c r="CW307" t="s">
        <v>214</v>
      </c>
      <c r="CX307" t="s">
        <v>217</v>
      </c>
      <c r="CY307" t="s">
        <v>214</v>
      </c>
      <c r="DA307" t="s">
        <v>218</v>
      </c>
    </row>
    <row r="308" spans="1:105" x14ac:dyDescent="0.3">
      <c r="A308">
        <v>13557478</v>
      </c>
      <c r="B308">
        <v>956019</v>
      </c>
      <c r="C308" t="str">
        <f>"130523604903"</f>
        <v>130523604903</v>
      </c>
      <c r="D308" t="s">
        <v>397</v>
      </c>
      <c r="E308" t="s">
        <v>669</v>
      </c>
      <c r="F308" t="s">
        <v>582</v>
      </c>
      <c r="G308" s="1">
        <v>41417</v>
      </c>
      <c r="I308" t="s">
        <v>222</v>
      </c>
      <c r="J308" t="s">
        <v>188</v>
      </c>
      <c r="K308" t="s">
        <v>223</v>
      </c>
      <c r="Y308" t="str">
        <f>"2019-08-05T00:00:00"</f>
        <v>2019-08-05T00:00:00</v>
      </c>
      <c r="Z308" t="str">
        <f>"№29"</f>
        <v>№29</v>
      </c>
      <c r="AA308" t="s">
        <v>190</v>
      </c>
      <c r="AC308" t="s">
        <v>225</v>
      </c>
      <c r="AD308" t="s">
        <v>615</v>
      </c>
      <c r="AE308" t="s">
        <v>413</v>
      </c>
      <c r="AF308" t="s">
        <v>194</v>
      </c>
      <c r="AH308" t="s">
        <v>195</v>
      </c>
      <c r="AI308">
        <v>1</v>
      </c>
      <c r="AJ308" t="s">
        <v>196</v>
      </c>
      <c r="AK308" t="s">
        <v>194</v>
      </c>
      <c r="AL308" t="s">
        <v>197</v>
      </c>
      <c r="AM308" t="s">
        <v>198</v>
      </c>
      <c r="AR308" t="s">
        <v>194</v>
      </c>
      <c r="AS308" t="s">
        <v>199</v>
      </c>
      <c r="AU308" t="s">
        <v>197</v>
      </c>
      <c r="AZ308" t="s">
        <v>194</v>
      </c>
      <c r="BA308" t="s">
        <v>200</v>
      </c>
      <c r="BB308" t="s">
        <v>201</v>
      </c>
      <c r="BC308" t="s">
        <v>200</v>
      </c>
      <c r="BE308" t="s">
        <v>244</v>
      </c>
      <c r="BF308" t="s">
        <v>197</v>
      </c>
      <c r="BG308" t="s">
        <v>238</v>
      </c>
      <c r="BH308">
        <v>5</v>
      </c>
      <c r="BJ308" t="s">
        <v>205</v>
      </c>
      <c r="BK308" t="s">
        <v>206</v>
      </c>
      <c r="BL308" t="s">
        <v>214</v>
      </c>
      <c r="BO308" t="s">
        <v>200</v>
      </c>
      <c r="BP308" t="s">
        <v>200</v>
      </c>
      <c r="BQ308" s="3">
        <v>45566</v>
      </c>
      <c r="BR308" t="s">
        <v>232</v>
      </c>
      <c r="BT308" t="s">
        <v>197</v>
      </c>
      <c r="BV308" t="s">
        <v>233</v>
      </c>
      <c r="CA308" t="s">
        <v>194</v>
      </c>
      <c r="CB308" t="s">
        <v>214</v>
      </c>
      <c r="CF308" t="s">
        <v>215</v>
      </c>
      <c r="CH308" t="s">
        <v>214</v>
      </c>
      <c r="CI308" t="s">
        <v>214</v>
      </c>
      <c r="CJ308" t="s">
        <v>214</v>
      </c>
      <c r="CP308" t="s">
        <v>214</v>
      </c>
      <c r="CS308" t="s">
        <v>216</v>
      </c>
      <c r="CV308" t="s">
        <v>214</v>
      </c>
      <c r="CW308" t="s">
        <v>214</v>
      </c>
      <c r="CX308" t="s">
        <v>217</v>
      </c>
      <c r="CY308" t="s">
        <v>214</v>
      </c>
      <c r="DA308" t="s">
        <v>218</v>
      </c>
    </row>
    <row r="309" spans="1:105" x14ac:dyDescent="0.3">
      <c r="A309">
        <v>14158612</v>
      </c>
      <c r="B309">
        <v>47936</v>
      </c>
      <c r="C309" t="str">
        <f>"110313500969"</f>
        <v>110313500969</v>
      </c>
      <c r="D309" t="s">
        <v>990</v>
      </c>
      <c r="E309" t="s">
        <v>991</v>
      </c>
      <c r="F309" t="s">
        <v>992</v>
      </c>
      <c r="G309" s="1">
        <v>40615</v>
      </c>
      <c r="I309" t="s">
        <v>187</v>
      </c>
      <c r="J309" t="s">
        <v>188</v>
      </c>
      <c r="K309" t="s">
        <v>189</v>
      </c>
      <c r="Y309" t="str">
        <f>"2018-09-12T00:00:00"</f>
        <v>2018-09-12T00:00:00</v>
      </c>
      <c r="Z309" t="str">
        <f>"31"</f>
        <v>31</v>
      </c>
      <c r="AA309" t="s">
        <v>835</v>
      </c>
      <c r="AC309" t="s">
        <v>237</v>
      </c>
      <c r="AD309" t="s">
        <v>261</v>
      </c>
      <c r="AE309" t="s">
        <v>243</v>
      </c>
      <c r="AF309" t="s">
        <v>194</v>
      </c>
      <c r="AH309" t="s">
        <v>195</v>
      </c>
      <c r="AI309">
        <v>2</v>
      </c>
      <c r="AJ309" t="s">
        <v>196</v>
      </c>
      <c r="AK309" t="s">
        <v>194</v>
      </c>
      <c r="AL309" t="s">
        <v>197</v>
      </c>
      <c r="AM309" t="s">
        <v>228</v>
      </c>
      <c r="AR309" t="s">
        <v>194</v>
      </c>
      <c r="AS309" t="s">
        <v>199</v>
      </c>
      <c r="AU309" t="s">
        <v>197</v>
      </c>
      <c r="AZ309" t="s">
        <v>194</v>
      </c>
      <c r="BA309" t="s">
        <v>200</v>
      </c>
      <c r="BB309" t="s">
        <v>201</v>
      </c>
      <c r="BD309" t="s">
        <v>200</v>
      </c>
      <c r="BE309" t="s">
        <v>202</v>
      </c>
      <c r="BF309" t="s">
        <v>197</v>
      </c>
      <c r="BG309" t="s">
        <v>269</v>
      </c>
      <c r="BH309" t="s">
        <v>422</v>
      </c>
      <c r="BJ309" t="s">
        <v>205</v>
      </c>
      <c r="BK309" t="s">
        <v>206</v>
      </c>
      <c r="BL309" t="s">
        <v>194</v>
      </c>
      <c r="BO309" t="s">
        <v>216</v>
      </c>
      <c r="BP309" t="s">
        <v>216</v>
      </c>
      <c r="BQ309" t="s">
        <v>286</v>
      </c>
      <c r="BR309" t="s">
        <v>232</v>
      </c>
      <c r="BT309" t="s">
        <v>197</v>
      </c>
      <c r="BV309" t="s">
        <v>233</v>
      </c>
      <c r="CA309" t="s">
        <v>194</v>
      </c>
      <c r="CB309" t="s">
        <v>214</v>
      </c>
      <c r="CF309" t="s">
        <v>215</v>
      </c>
      <c r="CH309" t="s">
        <v>214</v>
      </c>
      <c r="CI309" t="s">
        <v>214</v>
      </c>
      <c r="CJ309" t="s">
        <v>214</v>
      </c>
      <c r="CP309" t="s">
        <v>214</v>
      </c>
      <c r="CS309" t="s">
        <v>216</v>
      </c>
      <c r="CV309" t="s">
        <v>214</v>
      </c>
      <c r="CW309" t="s">
        <v>214</v>
      </c>
      <c r="CX309" t="s">
        <v>217</v>
      </c>
      <c r="CY309" t="s">
        <v>214</v>
      </c>
      <c r="DA309" t="s">
        <v>218</v>
      </c>
    </row>
    <row r="310" spans="1:105" x14ac:dyDescent="0.3">
      <c r="A310">
        <v>13575354</v>
      </c>
      <c r="B310">
        <v>9052197</v>
      </c>
      <c r="C310" t="str">
        <f>"130621501211"</f>
        <v>130621501211</v>
      </c>
      <c r="D310" t="s">
        <v>993</v>
      </c>
      <c r="E310" t="s">
        <v>994</v>
      </c>
      <c r="F310" t="s">
        <v>995</v>
      </c>
      <c r="G310" s="1">
        <v>41446</v>
      </c>
      <c r="I310" t="s">
        <v>187</v>
      </c>
      <c r="J310" t="s">
        <v>188</v>
      </c>
      <c r="K310" t="s">
        <v>189</v>
      </c>
      <c r="Y310" t="str">
        <f>"2019-08-05T00:00:00"</f>
        <v>2019-08-05T00:00:00</v>
      </c>
      <c r="Z310" t="str">
        <f>"29"</f>
        <v>29</v>
      </c>
      <c r="AA310" t="s">
        <v>190</v>
      </c>
      <c r="AC310" t="s">
        <v>225</v>
      </c>
      <c r="AD310" t="s">
        <v>615</v>
      </c>
      <c r="AE310" t="s">
        <v>227</v>
      </c>
      <c r="AF310" t="s">
        <v>194</v>
      </c>
      <c r="AH310" t="s">
        <v>195</v>
      </c>
      <c r="AI310">
        <v>1</v>
      </c>
      <c r="AJ310" t="s">
        <v>196</v>
      </c>
      <c r="AK310" t="s">
        <v>194</v>
      </c>
      <c r="AL310" t="s">
        <v>197</v>
      </c>
      <c r="AM310" t="s">
        <v>198</v>
      </c>
      <c r="AR310" t="s">
        <v>194</v>
      </c>
      <c r="AS310" t="s">
        <v>199</v>
      </c>
      <c r="AU310" t="s">
        <v>197</v>
      </c>
      <c r="AZ310" t="s">
        <v>214</v>
      </c>
      <c r="BA310" t="s">
        <v>996</v>
      </c>
      <c r="BB310" t="s">
        <v>201</v>
      </c>
      <c r="BD310" t="s">
        <v>200</v>
      </c>
      <c r="BE310" t="s">
        <v>202</v>
      </c>
      <c r="BF310" t="s">
        <v>197</v>
      </c>
      <c r="BG310" t="s">
        <v>230</v>
      </c>
      <c r="BH310" t="s">
        <v>420</v>
      </c>
      <c r="BJ310" t="s">
        <v>205</v>
      </c>
      <c r="BK310" t="s">
        <v>206</v>
      </c>
      <c r="BL310" t="s">
        <v>194</v>
      </c>
      <c r="BO310" t="s">
        <v>200</v>
      </c>
      <c r="BP310" t="s">
        <v>200</v>
      </c>
      <c r="BQ310" s="3">
        <v>45566</v>
      </c>
      <c r="BR310" t="s">
        <v>232</v>
      </c>
      <c r="BT310" t="s">
        <v>197</v>
      </c>
      <c r="BV310" t="s">
        <v>471</v>
      </c>
      <c r="BW310" t="s">
        <v>416</v>
      </c>
      <c r="BX310" t="s">
        <v>539</v>
      </c>
      <c r="BY310" t="s">
        <v>534</v>
      </c>
      <c r="BZ310" t="s">
        <v>845</v>
      </c>
      <c r="CA310" t="s">
        <v>194</v>
      </c>
      <c r="CB310" t="s">
        <v>214</v>
      </c>
      <c r="CF310" t="s">
        <v>215</v>
      </c>
      <c r="CH310" t="s">
        <v>214</v>
      </c>
      <c r="CI310" t="s">
        <v>214</v>
      </c>
      <c r="CJ310" t="s">
        <v>214</v>
      </c>
      <c r="CP310" t="s">
        <v>214</v>
      </c>
      <c r="CS310" t="s">
        <v>216</v>
      </c>
      <c r="CV310" t="s">
        <v>214</v>
      </c>
      <c r="CW310" t="s">
        <v>214</v>
      </c>
      <c r="CX310" t="s">
        <v>217</v>
      </c>
      <c r="CY310" t="s">
        <v>214</v>
      </c>
      <c r="DA310" t="s">
        <v>218</v>
      </c>
    </row>
    <row r="311" spans="1:105" x14ac:dyDescent="0.3">
      <c r="A311">
        <v>13575904</v>
      </c>
      <c r="B311">
        <v>9052375</v>
      </c>
      <c r="C311" t="str">
        <f>"120709500755"</f>
        <v>120709500755</v>
      </c>
      <c r="D311" t="s">
        <v>997</v>
      </c>
      <c r="E311" t="s">
        <v>363</v>
      </c>
      <c r="F311" t="s">
        <v>748</v>
      </c>
      <c r="G311" s="1">
        <v>41099</v>
      </c>
      <c r="I311" t="s">
        <v>187</v>
      </c>
      <c r="J311" t="s">
        <v>188</v>
      </c>
      <c r="K311" t="s">
        <v>223</v>
      </c>
      <c r="Y311" t="str">
        <f>"2019-06-21T00:00:00"</f>
        <v>2019-06-21T00:00:00</v>
      </c>
      <c r="Z311" t="str">
        <f>"27"</f>
        <v>27</v>
      </c>
      <c r="AA311" t="s">
        <v>190</v>
      </c>
      <c r="AC311" t="s">
        <v>225</v>
      </c>
      <c r="AD311" t="s">
        <v>615</v>
      </c>
      <c r="AE311" t="s">
        <v>227</v>
      </c>
      <c r="AF311" t="s">
        <v>194</v>
      </c>
      <c r="AH311" t="s">
        <v>195</v>
      </c>
      <c r="AI311">
        <v>1</v>
      </c>
      <c r="AJ311" t="s">
        <v>196</v>
      </c>
      <c r="AK311" t="s">
        <v>194</v>
      </c>
      <c r="AL311" t="s">
        <v>197</v>
      </c>
      <c r="AM311" t="s">
        <v>198</v>
      </c>
      <c r="AR311" t="s">
        <v>194</v>
      </c>
      <c r="AS311" t="s">
        <v>199</v>
      </c>
      <c r="AU311" t="s">
        <v>197</v>
      </c>
      <c r="AZ311" t="s">
        <v>194</v>
      </c>
      <c r="BA311" t="s">
        <v>200</v>
      </c>
      <c r="BB311" t="s">
        <v>201</v>
      </c>
      <c r="BD311" t="s">
        <v>200</v>
      </c>
      <c r="BE311" t="s">
        <v>229</v>
      </c>
      <c r="BF311" t="s">
        <v>197</v>
      </c>
      <c r="BG311" t="s">
        <v>230</v>
      </c>
      <c r="BH311" t="s">
        <v>231</v>
      </c>
      <c r="BJ311" t="s">
        <v>205</v>
      </c>
      <c r="BK311" t="s">
        <v>206</v>
      </c>
      <c r="BL311" t="s">
        <v>194</v>
      </c>
      <c r="BO311" t="s">
        <v>200</v>
      </c>
      <c r="BP311" t="s">
        <v>200</v>
      </c>
      <c r="BQ311" s="3">
        <v>45566</v>
      </c>
      <c r="BR311" t="s">
        <v>232</v>
      </c>
      <c r="BT311" t="s">
        <v>197</v>
      </c>
      <c r="BV311" t="s">
        <v>715</v>
      </c>
      <c r="BW311" t="s">
        <v>998</v>
      </c>
      <c r="BX311" t="s">
        <v>716</v>
      </c>
      <c r="BY311" t="s">
        <v>561</v>
      </c>
      <c r="BZ311" t="s">
        <v>999</v>
      </c>
      <c r="CA311" t="s">
        <v>194</v>
      </c>
      <c r="CB311" t="s">
        <v>214</v>
      </c>
      <c r="CF311" t="s">
        <v>215</v>
      </c>
      <c r="CH311" t="s">
        <v>214</v>
      </c>
      <c r="CI311" t="s">
        <v>214</v>
      </c>
      <c r="CJ311" t="s">
        <v>214</v>
      </c>
      <c r="CP311" t="s">
        <v>214</v>
      </c>
      <c r="CS311" t="s">
        <v>216</v>
      </c>
      <c r="CV311" t="s">
        <v>214</v>
      </c>
      <c r="CW311" t="s">
        <v>214</v>
      </c>
      <c r="CX311" t="s">
        <v>217</v>
      </c>
      <c r="CY311" t="s">
        <v>214</v>
      </c>
      <c r="DA311" t="s">
        <v>218</v>
      </c>
    </row>
    <row r="312" spans="1:105" x14ac:dyDescent="0.3">
      <c r="A312">
        <v>13576450</v>
      </c>
      <c r="B312">
        <v>9052557</v>
      </c>
      <c r="C312" t="str">
        <f>"130323600428"</f>
        <v>130323600428</v>
      </c>
      <c r="D312" t="s">
        <v>1000</v>
      </c>
      <c r="E312" t="s">
        <v>326</v>
      </c>
      <c r="F312" t="s">
        <v>464</v>
      </c>
      <c r="G312" s="1">
        <v>41356</v>
      </c>
      <c r="I312" t="s">
        <v>222</v>
      </c>
      <c r="J312" t="s">
        <v>188</v>
      </c>
      <c r="K312" t="s">
        <v>223</v>
      </c>
      <c r="Y312" t="str">
        <f>"2019-08-14T00:00:00"</f>
        <v>2019-08-14T00:00:00</v>
      </c>
      <c r="Z312" t="str">
        <f>"30"</f>
        <v>30</v>
      </c>
      <c r="AA312" t="s">
        <v>190</v>
      </c>
      <c r="AC312" t="s">
        <v>225</v>
      </c>
      <c r="AD312" t="s">
        <v>615</v>
      </c>
      <c r="AE312" t="s">
        <v>193</v>
      </c>
      <c r="AF312" t="s">
        <v>194</v>
      </c>
      <c r="AH312" t="s">
        <v>195</v>
      </c>
      <c r="AI312">
        <v>1</v>
      </c>
      <c r="AJ312" t="s">
        <v>196</v>
      </c>
      <c r="AK312" t="s">
        <v>194</v>
      </c>
      <c r="AL312" t="s">
        <v>197</v>
      </c>
      <c r="AM312" t="s">
        <v>228</v>
      </c>
      <c r="AR312" t="s">
        <v>194</v>
      </c>
      <c r="AS312" t="s">
        <v>199</v>
      </c>
      <c r="AU312" t="s">
        <v>197</v>
      </c>
      <c r="AZ312" t="s">
        <v>194</v>
      </c>
      <c r="BA312" t="s">
        <v>200</v>
      </c>
      <c r="BB312" t="s">
        <v>201</v>
      </c>
      <c r="BC312" t="s">
        <v>317</v>
      </c>
      <c r="BD312" t="s">
        <v>200</v>
      </c>
      <c r="BE312" t="s">
        <v>244</v>
      </c>
      <c r="BF312" t="s">
        <v>197</v>
      </c>
      <c r="BG312" t="s">
        <v>238</v>
      </c>
      <c r="BH312">
        <v>5</v>
      </c>
      <c r="BJ312" t="s">
        <v>205</v>
      </c>
      <c r="BK312" t="s">
        <v>206</v>
      </c>
      <c r="BL312" t="s">
        <v>194</v>
      </c>
      <c r="BO312" t="s">
        <v>200</v>
      </c>
      <c r="BP312" t="s">
        <v>200</v>
      </c>
      <c r="BQ312" s="3">
        <v>45566</v>
      </c>
      <c r="BR312" t="s">
        <v>232</v>
      </c>
      <c r="BT312" t="s">
        <v>197</v>
      </c>
      <c r="BV312" t="s">
        <v>471</v>
      </c>
      <c r="BW312" t="s">
        <v>416</v>
      </c>
      <c r="BX312" t="s">
        <v>539</v>
      </c>
      <c r="BY312" t="s">
        <v>534</v>
      </c>
      <c r="BZ312" t="s">
        <v>845</v>
      </c>
      <c r="CA312" t="s">
        <v>194</v>
      </c>
      <c r="CB312" t="s">
        <v>214</v>
      </c>
      <c r="CF312" t="s">
        <v>215</v>
      </c>
      <c r="CH312" t="s">
        <v>214</v>
      </c>
      <c r="CI312" t="s">
        <v>214</v>
      </c>
      <c r="CJ312" t="s">
        <v>214</v>
      </c>
      <c r="CP312" t="s">
        <v>214</v>
      </c>
      <c r="CS312" t="s">
        <v>216</v>
      </c>
      <c r="CV312" t="s">
        <v>214</v>
      </c>
      <c r="CW312" t="s">
        <v>214</v>
      </c>
      <c r="CX312" t="s">
        <v>217</v>
      </c>
      <c r="CY312" t="s">
        <v>214</v>
      </c>
      <c r="DA312" t="s">
        <v>218</v>
      </c>
    </row>
    <row r="313" spans="1:105" x14ac:dyDescent="0.3">
      <c r="A313">
        <v>13577268</v>
      </c>
      <c r="B313">
        <v>6583588</v>
      </c>
      <c r="C313" t="str">
        <f>"121120501902"</f>
        <v>121120501902</v>
      </c>
      <c r="D313" t="s">
        <v>1001</v>
      </c>
      <c r="E313" t="s">
        <v>434</v>
      </c>
      <c r="F313" t="s">
        <v>1002</v>
      </c>
      <c r="G313" s="1">
        <v>41233</v>
      </c>
      <c r="I313" t="s">
        <v>187</v>
      </c>
      <c r="J313" t="s">
        <v>188</v>
      </c>
      <c r="K313" t="s">
        <v>382</v>
      </c>
      <c r="Y313" t="str">
        <f>"2019-08-14T00:00:00"</f>
        <v>2019-08-14T00:00:00</v>
      </c>
      <c r="Z313" t="str">
        <f>"30"</f>
        <v>30</v>
      </c>
      <c r="AA313" t="s">
        <v>190</v>
      </c>
      <c r="AC313" t="s">
        <v>225</v>
      </c>
      <c r="AD313" t="s">
        <v>615</v>
      </c>
      <c r="AE313" t="s">
        <v>193</v>
      </c>
      <c r="AF313" t="s">
        <v>194</v>
      </c>
      <c r="AH313" t="s">
        <v>195</v>
      </c>
      <c r="AI313">
        <v>1</v>
      </c>
      <c r="AJ313" t="s">
        <v>196</v>
      </c>
      <c r="AK313" t="s">
        <v>194</v>
      </c>
      <c r="AL313" t="s">
        <v>197</v>
      </c>
      <c r="AM313" t="s">
        <v>228</v>
      </c>
      <c r="AR313" t="s">
        <v>194</v>
      </c>
      <c r="AS313" t="s">
        <v>199</v>
      </c>
      <c r="AU313" t="s">
        <v>197</v>
      </c>
      <c r="AZ313" t="s">
        <v>194</v>
      </c>
      <c r="BA313" t="s">
        <v>200</v>
      </c>
      <c r="BB313" t="s">
        <v>201</v>
      </c>
      <c r="BD313" t="s">
        <v>200</v>
      </c>
      <c r="BE313" t="s">
        <v>244</v>
      </c>
      <c r="BF313" t="s">
        <v>197</v>
      </c>
      <c r="BG313" t="s">
        <v>238</v>
      </c>
      <c r="BH313">
        <v>5</v>
      </c>
      <c r="BJ313" t="s">
        <v>205</v>
      </c>
      <c r="BK313" t="s">
        <v>206</v>
      </c>
      <c r="BL313" t="s">
        <v>194</v>
      </c>
      <c r="BO313" t="s">
        <v>216</v>
      </c>
      <c r="BP313" t="s">
        <v>216</v>
      </c>
      <c r="BQ313" s="3">
        <v>45566</v>
      </c>
      <c r="BR313" t="s">
        <v>232</v>
      </c>
      <c r="BT313" t="s">
        <v>197</v>
      </c>
      <c r="BV313" t="s">
        <v>471</v>
      </c>
      <c r="BW313" t="s">
        <v>416</v>
      </c>
      <c r="BX313" t="s">
        <v>539</v>
      </c>
      <c r="BY313" t="s">
        <v>534</v>
      </c>
      <c r="BZ313" t="s">
        <v>845</v>
      </c>
      <c r="CA313" t="s">
        <v>194</v>
      </c>
      <c r="CB313" t="s">
        <v>214</v>
      </c>
      <c r="CF313" t="s">
        <v>215</v>
      </c>
      <c r="CH313" t="s">
        <v>214</v>
      </c>
      <c r="CI313" t="s">
        <v>214</v>
      </c>
      <c r="CJ313" t="s">
        <v>214</v>
      </c>
      <c r="CP313" t="s">
        <v>214</v>
      </c>
      <c r="CS313" t="s">
        <v>216</v>
      </c>
      <c r="CV313" t="s">
        <v>214</v>
      </c>
      <c r="CW313" t="s">
        <v>214</v>
      </c>
      <c r="CX313" t="s">
        <v>217</v>
      </c>
      <c r="CY313" t="s">
        <v>214</v>
      </c>
      <c r="DA313" t="s">
        <v>218</v>
      </c>
    </row>
    <row r="314" spans="1:105" x14ac:dyDescent="0.3">
      <c r="A314">
        <v>14172662</v>
      </c>
      <c r="B314">
        <v>929893</v>
      </c>
      <c r="C314" t="str">
        <f>"080403651346"</f>
        <v>080403651346</v>
      </c>
      <c r="D314" t="s">
        <v>1003</v>
      </c>
      <c r="E314" t="s">
        <v>1004</v>
      </c>
      <c r="F314" t="s">
        <v>327</v>
      </c>
      <c r="G314" s="1">
        <v>39541</v>
      </c>
      <c r="I314" t="s">
        <v>222</v>
      </c>
      <c r="J314" t="s">
        <v>188</v>
      </c>
      <c r="K314" t="s">
        <v>260</v>
      </c>
      <c r="Y314" t="str">
        <f>"2019-08-29T00:00:00"</f>
        <v>2019-08-29T00:00:00</v>
      </c>
      <c r="Z314" t="str">
        <f>"32"</f>
        <v>32</v>
      </c>
      <c r="AA314" t="s">
        <v>835</v>
      </c>
      <c r="AB314" t="str">
        <f>"akm_arshalu_novoaleksandrovka@mail.ru"</f>
        <v>akm_arshalu_novoaleksandrovka@mail.ru</v>
      </c>
      <c r="AC314" t="s">
        <v>237</v>
      </c>
      <c r="AD314" t="s">
        <v>192</v>
      </c>
      <c r="AE314" t="s">
        <v>193</v>
      </c>
      <c r="AF314" t="s">
        <v>194</v>
      </c>
      <c r="AH314" t="s">
        <v>195</v>
      </c>
      <c r="AI314">
        <v>2</v>
      </c>
      <c r="AJ314" t="s">
        <v>196</v>
      </c>
      <c r="AK314" t="s">
        <v>194</v>
      </c>
      <c r="AL314" t="s">
        <v>197</v>
      </c>
      <c r="AM314" t="s">
        <v>228</v>
      </c>
      <c r="AR314" t="s">
        <v>214</v>
      </c>
      <c r="AU314" t="s">
        <v>197</v>
      </c>
      <c r="AZ314" t="s">
        <v>194</v>
      </c>
      <c r="BA314" t="s">
        <v>200</v>
      </c>
      <c r="BB314" t="s">
        <v>201</v>
      </c>
      <c r="BC314" t="s">
        <v>317</v>
      </c>
      <c r="BD314" t="s">
        <v>200</v>
      </c>
      <c r="BE314" t="s">
        <v>202</v>
      </c>
      <c r="BF314" t="s">
        <v>197</v>
      </c>
      <c r="BG314" t="s">
        <v>290</v>
      </c>
      <c r="BH314" t="s">
        <v>849</v>
      </c>
      <c r="BJ314" t="s">
        <v>205</v>
      </c>
      <c r="BK314" t="s">
        <v>206</v>
      </c>
      <c r="BL314" t="s">
        <v>194</v>
      </c>
      <c r="BO314" t="s">
        <v>216</v>
      </c>
      <c r="BP314" t="s">
        <v>216</v>
      </c>
      <c r="BR314" t="s">
        <v>232</v>
      </c>
      <c r="BT314" t="s">
        <v>197</v>
      </c>
      <c r="BV314" t="s">
        <v>233</v>
      </c>
      <c r="CA314" t="s">
        <v>194</v>
      </c>
      <c r="CB314" t="s">
        <v>214</v>
      </c>
      <c r="CF314" t="s">
        <v>215</v>
      </c>
      <c r="CH314" t="s">
        <v>214</v>
      </c>
      <c r="CI314" t="s">
        <v>214</v>
      </c>
      <c r="CJ314" t="s">
        <v>214</v>
      </c>
      <c r="CP314" t="s">
        <v>214</v>
      </c>
      <c r="CS314" t="s">
        <v>216</v>
      </c>
      <c r="CV314" t="s">
        <v>214</v>
      </c>
      <c r="CW314" t="s">
        <v>214</v>
      </c>
      <c r="CX314" t="s">
        <v>217</v>
      </c>
      <c r="CY314" t="s">
        <v>214</v>
      </c>
      <c r="DA314" t="s">
        <v>218</v>
      </c>
    </row>
    <row r="315" spans="1:105" x14ac:dyDescent="0.3">
      <c r="A315">
        <v>13729489</v>
      </c>
      <c r="B315">
        <v>873934</v>
      </c>
      <c r="C315" t="str">
        <f>"121215602824"</f>
        <v>121215602824</v>
      </c>
      <c r="D315" t="s">
        <v>1005</v>
      </c>
      <c r="E315" t="s">
        <v>1006</v>
      </c>
      <c r="F315" t="s">
        <v>1007</v>
      </c>
      <c r="G315" s="1">
        <v>41258</v>
      </c>
      <c r="I315" t="s">
        <v>222</v>
      </c>
      <c r="J315" t="s">
        <v>188</v>
      </c>
      <c r="K315" t="s">
        <v>189</v>
      </c>
      <c r="Y315" t="str">
        <f>"2019-10-09T00:00:00"</f>
        <v>2019-10-09T00:00:00</v>
      </c>
      <c r="Z315" t="str">
        <f>"49"</f>
        <v>49</v>
      </c>
      <c r="AA315" t="s">
        <v>835</v>
      </c>
      <c r="AC315" t="s">
        <v>225</v>
      </c>
      <c r="AD315" t="s">
        <v>615</v>
      </c>
      <c r="AE315" t="s">
        <v>243</v>
      </c>
      <c r="AF315" t="s">
        <v>194</v>
      </c>
      <c r="AH315" t="s">
        <v>195</v>
      </c>
      <c r="AI315">
        <v>1</v>
      </c>
      <c r="AJ315" t="s">
        <v>196</v>
      </c>
      <c r="AK315" t="s">
        <v>194</v>
      </c>
      <c r="AL315" t="s">
        <v>197</v>
      </c>
      <c r="AM315" t="s">
        <v>228</v>
      </c>
      <c r="AR315" t="s">
        <v>194</v>
      </c>
      <c r="AS315" t="s">
        <v>199</v>
      </c>
      <c r="AU315" t="s">
        <v>197</v>
      </c>
      <c r="AZ315" t="s">
        <v>194</v>
      </c>
      <c r="BA315" t="s">
        <v>200</v>
      </c>
      <c r="BB315" t="s">
        <v>201</v>
      </c>
      <c r="BD315" t="s">
        <v>200</v>
      </c>
      <c r="BE315" t="s">
        <v>244</v>
      </c>
      <c r="BF315" t="s">
        <v>197</v>
      </c>
      <c r="BG315" t="s">
        <v>238</v>
      </c>
      <c r="BH315">
        <v>5</v>
      </c>
      <c r="BJ315" t="s">
        <v>205</v>
      </c>
      <c r="BK315" t="s">
        <v>206</v>
      </c>
      <c r="BL315" t="s">
        <v>194</v>
      </c>
      <c r="BO315" t="s">
        <v>216</v>
      </c>
      <c r="BP315" t="s">
        <v>216</v>
      </c>
      <c r="BQ315" s="3">
        <v>45566</v>
      </c>
      <c r="BR315" t="s">
        <v>232</v>
      </c>
      <c r="BT315" t="s">
        <v>197</v>
      </c>
      <c r="BV315" t="s">
        <v>233</v>
      </c>
      <c r="CA315" t="s">
        <v>194</v>
      </c>
      <c r="CB315" t="s">
        <v>194</v>
      </c>
      <c r="CC315" t="s">
        <v>264</v>
      </c>
      <c r="CD315" t="s">
        <v>265</v>
      </c>
      <c r="CE315" t="s">
        <v>266</v>
      </c>
      <c r="CF315" t="s">
        <v>215</v>
      </c>
      <c r="CH315" t="s">
        <v>214</v>
      </c>
      <c r="CI315" t="s">
        <v>214</v>
      </c>
      <c r="CJ315" t="s">
        <v>214</v>
      </c>
      <c r="CP315" t="s">
        <v>214</v>
      </c>
      <c r="CS315" t="s">
        <v>216</v>
      </c>
      <c r="CV315" t="s">
        <v>214</v>
      </c>
      <c r="CW315" t="s">
        <v>214</v>
      </c>
      <c r="CX315" t="s">
        <v>217</v>
      </c>
      <c r="CY315" t="s">
        <v>214</v>
      </c>
      <c r="DA315" t="s">
        <v>218</v>
      </c>
    </row>
    <row r="316" spans="1:105" x14ac:dyDescent="0.3">
      <c r="A316">
        <v>13747346</v>
      </c>
      <c r="B316">
        <v>6344026</v>
      </c>
      <c r="C316" t="str">
        <f>"140801500987"</f>
        <v>140801500987</v>
      </c>
      <c r="D316" t="s">
        <v>890</v>
      </c>
      <c r="E316" t="s">
        <v>1008</v>
      </c>
      <c r="F316" t="s">
        <v>1009</v>
      </c>
      <c r="G316" s="1">
        <v>41852</v>
      </c>
      <c r="I316" t="s">
        <v>187</v>
      </c>
      <c r="J316" t="s">
        <v>188</v>
      </c>
      <c r="K316" t="s">
        <v>189</v>
      </c>
      <c r="Y316" t="str">
        <f>"2019-09-02T00:00:00"</f>
        <v>2019-09-02T00:00:00</v>
      </c>
      <c r="Z316" t="str">
        <f>"37"</f>
        <v>37</v>
      </c>
      <c r="AA316" t="s">
        <v>224</v>
      </c>
      <c r="AC316" t="s">
        <v>191</v>
      </c>
      <c r="AD316" t="s">
        <v>815</v>
      </c>
      <c r="AE316" t="s">
        <v>243</v>
      </c>
      <c r="AF316" t="s">
        <v>194</v>
      </c>
      <c r="AH316" t="s">
        <v>195</v>
      </c>
      <c r="AI316">
        <v>3</v>
      </c>
      <c r="AJ316" t="s">
        <v>196</v>
      </c>
      <c r="AK316" t="s">
        <v>194</v>
      </c>
      <c r="AL316" t="s">
        <v>197</v>
      </c>
      <c r="AM316" t="s">
        <v>228</v>
      </c>
      <c r="AR316" t="s">
        <v>194</v>
      </c>
      <c r="AS316" t="s">
        <v>199</v>
      </c>
      <c r="AU316" t="s">
        <v>197</v>
      </c>
      <c r="AZ316" t="s">
        <v>194</v>
      </c>
      <c r="BA316" t="s">
        <v>200</v>
      </c>
      <c r="BB316" t="s">
        <v>201</v>
      </c>
      <c r="BC316" t="s">
        <v>317</v>
      </c>
      <c r="BD316" t="s">
        <v>200</v>
      </c>
      <c r="BE316" t="s">
        <v>202</v>
      </c>
      <c r="BF316" t="s">
        <v>197</v>
      </c>
      <c r="BG316" t="s">
        <v>230</v>
      </c>
      <c r="BH316" t="s">
        <v>420</v>
      </c>
      <c r="BJ316" t="s">
        <v>205</v>
      </c>
      <c r="BK316" t="s">
        <v>206</v>
      </c>
      <c r="BL316" t="s">
        <v>194</v>
      </c>
      <c r="BO316" t="s">
        <v>200</v>
      </c>
      <c r="BP316" t="s">
        <v>200</v>
      </c>
      <c r="BQ316" t="s">
        <v>280</v>
      </c>
      <c r="BR316" t="s">
        <v>232</v>
      </c>
      <c r="BT316" t="s">
        <v>197</v>
      </c>
      <c r="BV316" t="s">
        <v>233</v>
      </c>
      <c r="CA316" t="s">
        <v>194</v>
      </c>
      <c r="CB316" t="s">
        <v>214</v>
      </c>
      <c r="CF316" t="s">
        <v>215</v>
      </c>
      <c r="CH316" t="s">
        <v>214</v>
      </c>
      <c r="CI316" t="s">
        <v>214</v>
      </c>
      <c r="CJ316" t="s">
        <v>214</v>
      </c>
      <c r="CP316" t="s">
        <v>214</v>
      </c>
      <c r="CS316" t="s">
        <v>216</v>
      </c>
      <c r="CV316" t="s">
        <v>214</v>
      </c>
      <c r="CW316" t="s">
        <v>214</v>
      </c>
      <c r="CX316" t="s">
        <v>217</v>
      </c>
      <c r="CY316" t="s">
        <v>214</v>
      </c>
      <c r="DA316" t="s">
        <v>218</v>
      </c>
    </row>
    <row r="317" spans="1:105" x14ac:dyDescent="0.3">
      <c r="A317">
        <v>13748139</v>
      </c>
      <c r="B317">
        <v>620163</v>
      </c>
      <c r="C317" t="str">
        <f>"140407602792"</f>
        <v>140407602792</v>
      </c>
      <c r="D317" t="s">
        <v>1010</v>
      </c>
      <c r="E317" t="s">
        <v>442</v>
      </c>
      <c r="F317" t="s">
        <v>1011</v>
      </c>
      <c r="G317" s="1">
        <v>41736</v>
      </c>
      <c r="I317" t="s">
        <v>222</v>
      </c>
      <c r="J317" t="s">
        <v>188</v>
      </c>
      <c r="K317" t="s">
        <v>298</v>
      </c>
      <c r="Y317" t="str">
        <f>"2019-09-02T00:00:00"</f>
        <v>2019-09-02T00:00:00</v>
      </c>
      <c r="Z317" t="str">
        <f>"37"</f>
        <v>37</v>
      </c>
      <c r="AA317" t="s">
        <v>190</v>
      </c>
      <c r="AC317" t="s">
        <v>191</v>
      </c>
      <c r="AD317" t="s">
        <v>899</v>
      </c>
      <c r="AE317" t="s">
        <v>227</v>
      </c>
      <c r="AF317" t="s">
        <v>194</v>
      </c>
      <c r="AH317" t="s">
        <v>195</v>
      </c>
      <c r="AI317">
        <v>3</v>
      </c>
      <c r="AJ317" t="s">
        <v>196</v>
      </c>
      <c r="AK317" t="s">
        <v>194</v>
      </c>
      <c r="AL317" t="s">
        <v>197</v>
      </c>
      <c r="AM317" t="s">
        <v>228</v>
      </c>
      <c r="AR317" t="s">
        <v>194</v>
      </c>
      <c r="AS317" t="s">
        <v>199</v>
      </c>
      <c r="AU317" t="s">
        <v>197</v>
      </c>
      <c r="AZ317" t="s">
        <v>194</v>
      </c>
      <c r="BA317" t="s">
        <v>200</v>
      </c>
      <c r="BB317" t="s">
        <v>201</v>
      </c>
      <c r="BD317" t="s">
        <v>200</v>
      </c>
      <c r="BE317" t="s">
        <v>900</v>
      </c>
      <c r="BF317" t="s">
        <v>197</v>
      </c>
      <c r="BJ317" t="s">
        <v>205</v>
      </c>
      <c r="BK317" t="s">
        <v>206</v>
      </c>
      <c r="BL317" t="s">
        <v>194</v>
      </c>
      <c r="BO317" t="s">
        <v>216</v>
      </c>
      <c r="BP317" t="s">
        <v>216</v>
      </c>
      <c r="BQ317" t="s">
        <v>280</v>
      </c>
      <c r="BR317" t="s">
        <v>232</v>
      </c>
      <c r="BT317" t="s">
        <v>197</v>
      </c>
      <c r="BV317" t="s">
        <v>233</v>
      </c>
      <c r="CA317" t="s">
        <v>194</v>
      </c>
      <c r="CB317" t="s">
        <v>214</v>
      </c>
      <c r="CF317" t="s">
        <v>215</v>
      </c>
      <c r="CH317" t="s">
        <v>214</v>
      </c>
      <c r="CI317" t="s">
        <v>214</v>
      </c>
      <c r="CJ317" t="s">
        <v>214</v>
      </c>
      <c r="CP317" t="s">
        <v>214</v>
      </c>
      <c r="CS317" t="s">
        <v>216</v>
      </c>
      <c r="CV317" t="s">
        <v>214</v>
      </c>
      <c r="CW317" t="s">
        <v>214</v>
      </c>
      <c r="CX317" t="s">
        <v>217</v>
      </c>
      <c r="CY317" t="s">
        <v>214</v>
      </c>
      <c r="DA317" t="s">
        <v>218</v>
      </c>
    </row>
    <row r="318" spans="1:105" x14ac:dyDescent="0.3">
      <c r="A318">
        <v>13749638</v>
      </c>
      <c r="B318">
        <v>1848232</v>
      </c>
      <c r="C318" t="str">
        <f>"130412603496"</f>
        <v>130412603496</v>
      </c>
      <c r="D318" t="s">
        <v>1012</v>
      </c>
      <c r="E318" t="s">
        <v>438</v>
      </c>
      <c r="F318" t="s">
        <v>336</v>
      </c>
      <c r="G318" s="1">
        <v>41376</v>
      </c>
      <c r="I318" t="s">
        <v>222</v>
      </c>
      <c r="J318" t="s">
        <v>188</v>
      </c>
      <c r="K318" t="s">
        <v>382</v>
      </c>
      <c r="Y318" t="str">
        <f>"2019-09-02T00:00:00"</f>
        <v>2019-09-02T00:00:00</v>
      </c>
      <c r="Z318" t="str">
        <f>"37"</f>
        <v>37</v>
      </c>
      <c r="AA318" t="s">
        <v>190</v>
      </c>
      <c r="AC318" t="s">
        <v>237</v>
      </c>
      <c r="AD318" t="s">
        <v>815</v>
      </c>
      <c r="AE318" t="s">
        <v>243</v>
      </c>
      <c r="AF318" t="s">
        <v>194</v>
      </c>
      <c r="AH318" t="s">
        <v>195</v>
      </c>
      <c r="AI318">
        <v>3</v>
      </c>
      <c r="AJ318" t="s">
        <v>196</v>
      </c>
      <c r="AK318" t="s">
        <v>194</v>
      </c>
      <c r="AL318" t="s">
        <v>197</v>
      </c>
      <c r="AM318" t="s">
        <v>228</v>
      </c>
      <c r="AR318" t="s">
        <v>194</v>
      </c>
      <c r="AS318" t="s">
        <v>199</v>
      </c>
      <c r="AU318" t="s">
        <v>197</v>
      </c>
      <c r="AZ318" t="s">
        <v>194</v>
      </c>
      <c r="BA318" t="s">
        <v>200</v>
      </c>
      <c r="BB318" t="s">
        <v>201</v>
      </c>
      <c r="BD318" t="s">
        <v>200</v>
      </c>
      <c r="BE318" t="s">
        <v>229</v>
      </c>
      <c r="BF318" t="s">
        <v>197</v>
      </c>
      <c r="BG318" t="s">
        <v>230</v>
      </c>
      <c r="BH318" t="s">
        <v>263</v>
      </c>
      <c r="BJ318" t="s">
        <v>205</v>
      </c>
      <c r="BK318" t="s">
        <v>206</v>
      </c>
      <c r="BL318" t="s">
        <v>214</v>
      </c>
      <c r="BO318" t="s">
        <v>216</v>
      </c>
      <c r="BP318" t="s">
        <v>216</v>
      </c>
      <c r="BQ318" t="s">
        <v>280</v>
      </c>
      <c r="BR318" t="s">
        <v>232</v>
      </c>
      <c r="BT318" t="s">
        <v>197</v>
      </c>
      <c r="BV318" t="s">
        <v>233</v>
      </c>
      <c r="CA318" t="s">
        <v>214</v>
      </c>
      <c r="CB318" t="s">
        <v>214</v>
      </c>
      <c r="CF318" t="s">
        <v>215</v>
      </c>
      <c r="CH318" t="s">
        <v>214</v>
      </c>
      <c r="CI318" t="s">
        <v>214</v>
      </c>
      <c r="CJ318" t="s">
        <v>214</v>
      </c>
      <c r="CP318" t="s">
        <v>214</v>
      </c>
      <c r="CS318" t="s">
        <v>216</v>
      </c>
      <c r="CV318" t="s">
        <v>214</v>
      </c>
      <c r="CW318" t="s">
        <v>214</v>
      </c>
      <c r="CX318" t="s">
        <v>217</v>
      </c>
      <c r="CY318" t="s">
        <v>214</v>
      </c>
      <c r="DA318" t="s">
        <v>218</v>
      </c>
    </row>
    <row r="319" spans="1:105" x14ac:dyDescent="0.3">
      <c r="A319">
        <v>15305701</v>
      </c>
      <c r="B319">
        <v>6129465</v>
      </c>
      <c r="C319" t="str">
        <f>"100704553517"</f>
        <v>100704553517</v>
      </c>
      <c r="D319" t="s">
        <v>1013</v>
      </c>
      <c r="E319" t="s">
        <v>1014</v>
      </c>
      <c r="F319" t="s">
        <v>1015</v>
      </c>
      <c r="G319" s="1">
        <v>40363</v>
      </c>
      <c r="I319" t="s">
        <v>187</v>
      </c>
      <c r="J319" t="s">
        <v>188</v>
      </c>
      <c r="K319" t="s">
        <v>189</v>
      </c>
      <c r="Y319" t="str">
        <f>"2019-01-10T00:00:00"</f>
        <v>2019-01-10T00:00:00</v>
      </c>
      <c r="Z319" t="str">
        <f>"02"</f>
        <v>02</v>
      </c>
      <c r="AA319" t="s">
        <v>190</v>
      </c>
      <c r="AC319" t="s">
        <v>255</v>
      </c>
      <c r="AD319" t="s">
        <v>242</v>
      </c>
      <c r="AE319" t="s">
        <v>413</v>
      </c>
      <c r="AF319" t="s">
        <v>194</v>
      </c>
      <c r="AH319" t="s">
        <v>195</v>
      </c>
      <c r="AI319">
        <v>1</v>
      </c>
      <c r="AJ319" t="s">
        <v>196</v>
      </c>
      <c r="AK319" t="s">
        <v>194</v>
      </c>
      <c r="AL319" t="s">
        <v>197</v>
      </c>
      <c r="AM319" t="s">
        <v>228</v>
      </c>
      <c r="AR319" t="s">
        <v>194</v>
      </c>
      <c r="AS319" t="s">
        <v>199</v>
      </c>
      <c r="AU319" t="s">
        <v>197</v>
      </c>
      <c r="AZ319" t="s">
        <v>194</v>
      </c>
      <c r="BA319" t="s">
        <v>200</v>
      </c>
      <c r="BB319" t="s">
        <v>201</v>
      </c>
      <c r="BD319" t="s">
        <v>200</v>
      </c>
      <c r="BE319" t="s">
        <v>202</v>
      </c>
      <c r="BF319" t="s">
        <v>197</v>
      </c>
      <c r="BG319" t="s">
        <v>230</v>
      </c>
      <c r="BH319" t="s">
        <v>400</v>
      </c>
      <c r="BJ319" t="s">
        <v>205</v>
      </c>
      <c r="BK319" t="s">
        <v>206</v>
      </c>
      <c r="BL319" t="s">
        <v>194</v>
      </c>
      <c r="BO319" t="s">
        <v>200</v>
      </c>
      <c r="BP319" t="s">
        <v>200</v>
      </c>
      <c r="BR319" t="s">
        <v>232</v>
      </c>
      <c r="BT319" t="s">
        <v>197</v>
      </c>
      <c r="BV319" t="s">
        <v>415</v>
      </c>
      <c r="BW319" t="s">
        <v>416</v>
      </c>
      <c r="BX319" t="s">
        <v>211</v>
      </c>
      <c r="BY319" t="s">
        <v>534</v>
      </c>
      <c r="BZ319" t="s">
        <v>1016</v>
      </c>
      <c r="CA319" t="s">
        <v>194</v>
      </c>
      <c r="CB319" t="s">
        <v>214</v>
      </c>
      <c r="CF319" t="s">
        <v>215</v>
      </c>
      <c r="CH319" t="s">
        <v>214</v>
      </c>
      <c r="CI319" t="s">
        <v>214</v>
      </c>
      <c r="CJ319" t="s">
        <v>214</v>
      </c>
      <c r="CP319" t="s">
        <v>214</v>
      </c>
      <c r="CS319" t="s">
        <v>216</v>
      </c>
      <c r="CV319" t="s">
        <v>214</v>
      </c>
      <c r="CW319" t="s">
        <v>214</v>
      </c>
      <c r="CX319" t="s">
        <v>217</v>
      </c>
      <c r="CY319" t="s">
        <v>214</v>
      </c>
      <c r="DA319" t="s">
        <v>218</v>
      </c>
    </row>
    <row r="320" spans="1:105" x14ac:dyDescent="0.3">
      <c r="A320">
        <v>13749744</v>
      </c>
      <c r="B320">
        <v>9111514</v>
      </c>
      <c r="C320" t="str">
        <f>"130409501140"</f>
        <v>130409501140</v>
      </c>
      <c r="D320" t="s">
        <v>531</v>
      </c>
      <c r="E320" t="s">
        <v>185</v>
      </c>
      <c r="F320" t="s">
        <v>533</v>
      </c>
      <c r="G320" s="1">
        <v>41373</v>
      </c>
      <c r="I320" t="s">
        <v>187</v>
      </c>
      <c r="J320" t="s">
        <v>188</v>
      </c>
      <c r="K320" t="s">
        <v>189</v>
      </c>
      <c r="Y320" t="str">
        <f>"2019-09-02T00:00:00"</f>
        <v>2019-09-02T00:00:00</v>
      </c>
      <c r="Z320" t="str">
        <f>"37"</f>
        <v>37</v>
      </c>
      <c r="AA320" t="s">
        <v>190</v>
      </c>
      <c r="AC320" t="s">
        <v>225</v>
      </c>
      <c r="AD320" t="s">
        <v>815</v>
      </c>
      <c r="AE320" t="s">
        <v>227</v>
      </c>
      <c r="AF320" t="s">
        <v>194</v>
      </c>
      <c r="AH320" t="s">
        <v>195</v>
      </c>
      <c r="AI320">
        <v>3</v>
      </c>
      <c r="AJ320" t="s">
        <v>196</v>
      </c>
      <c r="AK320" t="s">
        <v>194</v>
      </c>
      <c r="AL320" t="s">
        <v>197</v>
      </c>
      <c r="AM320" t="s">
        <v>228</v>
      </c>
      <c r="AR320" t="s">
        <v>194</v>
      </c>
      <c r="AS320" t="s">
        <v>199</v>
      </c>
      <c r="AU320" t="s">
        <v>197</v>
      </c>
      <c r="AZ320" t="s">
        <v>194</v>
      </c>
      <c r="BA320" t="s">
        <v>200</v>
      </c>
      <c r="BB320" t="s">
        <v>201</v>
      </c>
      <c r="BD320" t="s">
        <v>200</v>
      </c>
      <c r="BE320" t="s">
        <v>229</v>
      </c>
      <c r="BF320" t="s">
        <v>197</v>
      </c>
      <c r="BG320" t="s">
        <v>230</v>
      </c>
      <c r="BH320" t="s">
        <v>263</v>
      </c>
      <c r="BJ320" t="s">
        <v>205</v>
      </c>
      <c r="BK320" t="s">
        <v>206</v>
      </c>
      <c r="BL320" t="s">
        <v>194</v>
      </c>
      <c r="BO320" t="s">
        <v>200</v>
      </c>
      <c r="BP320" t="s">
        <v>200</v>
      </c>
      <c r="BQ320" t="s">
        <v>280</v>
      </c>
      <c r="BR320" t="s">
        <v>232</v>
      </c>
      <c r="BT320" t="s">
        <v>197</v>
      </c>
      <c r="BV320" t="s">
        <v>233</v>
      </c>
      <c r="CA320" t="s">
        <v>194</v>
      </c>
      <c r="CB320" t="s">
        <v>214</v>
      </c>
      <c r="CF320" t="s">
        <v>215</v>
      </c>
      <c r="CH320" t="s">
        <v>214</v>
      </c>
      <c r="CI320" t="s">
        <v>214</v>
      </c>
      <c r="CJ320" t="s">
        <v>214</v>
      </c>
      <c r="CP320" t="s">
        <v>214</v>
      </c>
      <c r="CS320" t="s">
        <v>216</v>
      </c>
      <c r="CV320" t="s">
        <v>214</v>
      </c>
      <c r="CW320" t="s">
        <v>214</v>
      </c>
      <c r="CX320" t="s">
        <v>217</v>
      </c>
      <c r="CY320" t="s">
        <v>214</v>
      </c>
      <c r="DA320" t="s">
        <v>218</v>
      </c>
    </row>
    <row r="321" spans="1:105" x14ac:dyDescent="0.3">
      <c r="A321">
        <v>15371148</v>
      </c>
      <c r="B321">
        <v>934034</v>
      </c>
      <c r="C321" t="str">
        <f>"090831551666"</f>
        <v>090831551666</v>
      </c>
      <c r="D321" t="s">
        <v>1017</v>
      </c>
      <c r="E321" t="s">
        <v>1018</v>
      </c>
      <c r="F321" t="s">
        <v>1019</v>
      </c>
      <c r="G321" s="1">
        <v>40056</v>
      </c>
      <c r="I321" t="s">
        <v>187</v>
      </c>
      <c r="J321" t="s">
        <v>188</v>
      </c>
      <c r="K321" t="s">
        <v>189</v>
      </c>
      <c r="Y321" t="str">
        <f>"2019-09-14T13:53:00"</f>
        <v>2019-09-14T13:53:00</v>
      </c>
      <c r="Z321" t="str">
        <f>"43"</f>
        <v>43</v>
      </c>
      <c r="AA321" t="s">
        <v>190</v>
      </c>
      <c r="AC321" t="s">
        <v>237</v>
      </c>
      <c r="AD321" t="s">
        <v>242</v>
      </c>
      <c r="AE321" t="s">
        <v>193</v>
      </c>
      <c r="AF321" t="s">
        <v>194</v>
      </c>
      <c r="AH321" t="s">
        <v>195</v>
      </c>
      <c r="AI321">
        <v>1</v>
      </c>
      <c r="AJ321" t="s">
        <v>196</v>
      </c>
      <c r="AK321" t="s">
        <v>194</v>
      </c>
      <c r="AL321" t="s">
        <v>197</v>
      </c>
      <c r="AM321" t="s">
        <v>228</v>
      </c>
      <c r="AR321" t="s">
        <v>214</v>
      </c>
      <c r="AU321" t="s">
        <v>197</v>
      </c>
      <c r="AZ321" t="s">
        <v>194</v>
      </c>
      <c r="BA321" t="s">
        <v>200</v>
      </c>
      <c r="BB321" t="s">
        <v>201</v>
      </c>
      <c r="BD321" t="s">
        <v>200</v>
      </c>
      <c r="BE321" t="s">
        <v>229</v>
      </c>
      <c r="BF321" t="s">
        <v>197</v>
      </c>
      <c r="BG321" t="s">
        <v>230</v>
      </c>
      <c r="BH321" t="s">
        <v>307</v>
      </c>
      <c r="BJ321" t="s">
        <v>205</v>
      </c>
      <c r="BK321" t="s">
        <v>206</v>
      </c>
      <c r="BL321" t="s">
        <v>194</v>
      </c>
      <c r="BO321" t="s">
        <v>200</v>
      </c>
      <c r="BP321" t="s">
        <v>200</v>
      </c>
      <c r="BR321" t="s">
        <v>232</v>
      </c>
      <c r="BT321" t="s">
        <v>197</v>
      </c>
      <c r="BV321" t="s">
        <v>233</v>
      </c>
      <c r="CA321" t="s">
        <v>194</v>
      </c>
      <c r="CB321" t="s">
        <v>214</v>
      </c>
      <c r="CF321" t="s">
        <v>215</v>
      </c>
      <c r="CH321" t="s">
        <v>214</v>
      </c>
      <c r="CI321" t="s">
        <v>214</v>
      </c>
      <c r="CJ321" t="s">
        <v>214</v>
      </c>
      <c r="CP321" t="s">
        <v>214</v>
      </c>
      <c r="CS321" t="s">
        <v>216</v>
      </c>
      <c r="CV321" t="s">
        <v>214</v>
      </c>
      <c r="CW321" t="s">
        <v>214</v>
      </c>
      <c r="CX321" t="s">
        <v>217</v>
      </c>
      <c r="CY321" t="s">
        <v>214</v>
      </c>
      <c r="DA321" t="s">
        <v>218</v>
      </c>
    </row>
    <row r="322" spans="1:105" x14ac:dyDescent="0.3">
      <c r="A322">
        <v>13749853</v>
      </c>
      <c r="B322">
        <v>9111548</v>
      </c>
      <c r="C322" t="str">
        <f>"130121502717"</f>
        <v>130121502717</v>
      </c>
      <c r="D322" t="s">
        <v>315</v>
      </c>
      <c r="E322" t="s">
        <v>1020</v>
      </c>
      <c r="F322" t="s">
        <v>316</v>
      </c>
      <c r="G322" s="1">
        <v>41295</v>
      </c>
      <c r="I322" t="s">
        <v>187</v>
      </c>
      <c r="J322" t="s">
        <v>188</v>
      </c>
      <c r="K322" t="s">
        <v>223</v>
      </c>
      <c r="Y322" t="str">
        <f>"2019-09-02T00:00:00"</f>
        <v>2019-09-02T00:00:00</v>
      </c>
      <c r="Z322" t="str">
        <f>"37"</f>
        <v>37</v>
      </c>
      <c r="AA322" t="s">
        <v>190</v>
      </c>
      <c r="AC322" t="s">
        <v>225</v>
      </c>
      <c r="AD322" t="s">
        <v>815</v>
      </c>
      <c r="AE322" t="s">
        <v>227</v>
      </c>
      <c r="AF322" t="s">
        <v>194</v>
      </c>
      <c r="AH322" t="s">
        <v>195</v>
      </c>
      <c r="AI322">
        <v>3</v>
      </c>
      <c r="AJ322" t="s">
        <v>196</v>
      </c>
      <c r="AK322" t="s">
        <v>194</v>
      </c>
      <c r="AL322" t="s">
        <v>197</v>
      </c>
      <c r="AM322" t="s">
        <v>198</v>
      </c>
      <c r="AQ322" t="str">
        <f>"2020-11-04T10:05:59"</f>
        <v>2020-11-04T10:05:59</v>
      </c>
      <c r="AR322" t="s">
        <v>194</v>
      </c>
      <c r="AS322" t="s">
        <v>199</v>
      </c>
      <c r="AU322" t="s">
        <v>197</v>
      </c>
      <c r="AZ322" t="s">
        <v>194</v>
      </c>
      <c r="BA322" t="s">
        <v>200</v>
      </c>
      <c r="BB322" t="s">
        <v>201</v>
      </c>
      <c r="BC322" t="s">
        <v>317</v>
      </c>
      <c r="BD322" t="s">
        <v>200</v>
      </c>
      <c r="BE322" t="s">
        <v>202</v>
      </c>
      <c r="BF322" t="s">
        <v>197</v>
      </c>
      <c r="BG322" t="s">
        <v>230</v>
      </c>
      <c r="BH322" t="s">
        <v>420</v>
      </c>
      <c r="BJ322" t="s">
        <v>205</v>
      </c>
      <c r="BK322" t="s">
        <v>206</v>
      </c>
      <c r="BL322" t="s">
        <v>194</v>
      </c>
      <c r="BO322" t="s">
        <v>200</v>
      </c>
      <c r="BP322" t="s">
        <v>200</v>
      </c>
      <c r="BQ322" t="s">
        <v>280</v>
      </c>
      <c r="BR322" t="s">
        <v>232</v>
      </c>
      <c r="BT322" t="s">
        <v>197</v>
      </c>
      <c r="BV322" t="s">
        <v>233</v>
      </c>
      <c r="CA322" t="s">
        <v>194</v>
      </c>
      <c r="CB322" t="s">
        <v>214</v>
      </c>
      <c r="CF322" t="s">
        <v>215</v>
      </c>
      <c r="CH322" t="s">
        <v>214</v>
      </c>
      <c r="CI322" t="s">
        <v>214</v>
      </c>
      <c r="CJ322" t="s">
        <v>214</v>
      </c>
      <c r="CP322" t="s">
        <v>214</v>
      </c>
      <c r="CS322" t="s">
        <v>216</v>
      </c>
      <c r="CV322" t="s">
        <v>214</v>
      </c>
      <c r="CW322" t="s">
        <v>214</v>
      </c>
      <c r="CX322" t="s">
        <v>217</v>
      </c>
      <c r="CY322" t="s">
        <v>214</v>
      </c>
      <c r="DA322" t="s">
        <v>218</v>
      </c>
    </row>
    <row r="323" spans="1:105" x14ac:dyDescent="0.3">
      <c r="A323">
        <v>13750679</v>
      </c>
      <c r="B323">
        <v>9111814</v>
      </c>
      <c r="C323" t="str">
        <f>"130321501796"</f>
        <v>130321501796</v>
      </c>
      <c r="D323" t="s">
        <v>743</v>
      </c>
      <c r="E323" t="s">
        <v>385</v>
      </c>
      <c r="F323" t="s">
        <v>289</v>
      </c>
      <c r="G323" s="1">
        <v>41354</v>
      </c>
      <c r="I323" t="s">
        <v>187</v>
      </c>
      <c r="J323" t="s">
        <v>188</v>
      </c>
      <c r="K323" t="s">
        <v>260</v>
      </c>
      <c r="Y323" t="str">
        <f>"2019-09-02T00:00:00"</f>
        <v>2019-09-02T00:00:00</v>
      </c>
      <c r="Z323" t="str">
        <f>"37"</f>
        <v>37</v>
      </c>
      <c r="AA323" t="s">
        <v>190</v>
      </c>
      <c r="AC323" t="s">
        <v>191</v>
      </c>
      <c r="AD323" t="s">
        <v>815</v>
      </c>
      <c r="AE323" t="s">
        <v>227</v>
      </c>
      <c r="AF323" t="s">
        <v>194</v>
      </c>
      <c r="AH323" t="s">
        <v>195</v>
      </c>
      <c r="AI323">
        <v>3</v>
      </c>
      <c r="AJ323" t="s">
        <v>196</v>
      </c>
      <c r="AK323" t="s">
        <v>194</v>
      </c>
      <c r="AL323" t="s">
        <v>197</v>
      </c>
      <c r="AM323" t="s">
        <v>228</v>
      </c>
      <c r="AR323" t="s">
        <v>194</v>
      </c>
      <c r="AS323" t="s">
        <v>199</v>
      </c>
      <c r="AU323" t="s">
        <v>197</v>
      </c>
      <c r="AZ323" t="s">
        <v>194</v>
      </c>
      <c r="BA323" t="s">
        <v>200</v>
      </c>
      <c r="BB323" t="s">
        <v>201</v>
      </c>
      <c r="BD323" t="s">
        <v>200</v>
      </c>
      <c r="BE323" t="s">
        <v>202</v>
      </c>
      <c r="BF323" t="s">
        <v>197</v>
      </c>
      <c r="BG323" t="s">
        <v>230</v>
      </c>
      <c r="BH323" t="s">
        <v>420</v>
      </c>
      <c r="BJ323" t="s">
        <v>205</v>
      </c>
      <c r="BK323" t="s">
        <v>206</v>
      </c>
      <c r="BL323" t="s">
        <v>194</v>
      </c>
      <c r="BO323" t="s">
        <v>216</v>
      </c>
      <c r="BP323" t="s">
        <v>216</v>
      </c>
      <c r="BQ323" t="s">
        <v>280</v>
      </c>
      <c r="BR323" t="s">
        <v>232</v>
      </c>
      <c r="BT323" t="s">
        <v>197</v>
      </c>
      <c r="BV323" t="s">
        <v>1021</v>
      </c>
      <c r="BW323" t="s">
        <v>1022</v>
      </c>
      <c r="BX323" t="s">
        <v>1023</v>
      </c>
      <c r="BY323" t="s">
        <v>561</v>
      </c>
      <c r="BZ323" t="s">
        <v>1024</v>
      </c>
      <c r="CA323" t="s">
        <v>214</v>
      </c>
      <c r="CB323" t="s">
        <v>214</v>
      </c>
      <c r="CF323" t="s">
        <v>215</v>
      </c>
      <c r="CH323" t="s">
        <v>214</v>
      </c>
      <c r="CI323" t="s">
        <v>214</v>
      </c>
      <c r="CJ323" t="s">
        <v>214</v>
      </c>
      <c r="CP323" t="s">
        <v>214</v>
      </c>
      <c r="CS323" t="s">
        <v>216</v>
      </c>
      <c r="CV323" t="s">
        <v>214</v>
      </c>
      <c r="CW323" t="s">
        <v>214</v>
      </c>
      <c r="CX323" t="s">
        <v>217</v>
      </c>
      <c r="CY323" t="s">
        <v>214</v>
      </c>
      <c r="DA323" t="s">
        <v>218</v>
      </c>
    </row>
    <row r="324" spans="1:105" x14ac:dyDescent="0.3">
      <c r="A324">
        <v>13762733</v>
      </c>
      <c r="B324">
        <v>898438</v>
      </c>
      <c r="C324" t="str">
        <f>"130107500843"</f>
        <v>130107500843</v>
      </c>
      <c r="D324" t="s">
        <v>1025</v>
      </c>
      <c r="E324" t="s">
        <v>691</v>
      </c>
      <c r="F324" t="s">
        <v>323</v>
      </c>
      <c r="G324" s="1">
        <v>41281</v>
      </c>
      <c r="I324" t="s">
        <v>187</v>
      </c>
      <c r="J324" t="s">
        <v>188</v>
      </c>
      <c r="K324" t="s">
        <v>223</v>
      </c>
      <c r="Y324" t="str">
        <f>"2019-08-21T00:00:00"</f>
        <v>2019-08-21T00:00:00</v>
      </c>
      <c r="Z324" t="str">
        <f>"31"</f>
        <v>31</v>
      </c>
      <c r="AA324" t="s">
        <v>190</v>
      </c>
      <c r="AC324" t="s">
        <v>191</v>
      </c>
      <c r="AD324" t="s">
        <v>615</v>
      </c>
      <c r="AE324" t="s">
        <v>243</v>
      </c>
      <c r="AF324" t="s">
        <v>194</v>
      </c>
      <c r="AH324" t="s">
        <v>195</v>
      </c>
      <c r="AI324">
        <v>1</v>
      </c>
      <c r="AJ324" t="s">
        <v>196</v>
      </c>
      <c r="AK324" t="s">
        <v>194</v>
      </c>
      <c r="AL324" t="s">
        <v>197</v>
      </c>
      <c r="AM324" t="s">
        <v>198</v>
      </c>
      <c r="AR324" t="s">
        <v>194</v>
      </c>
      <c r="AS324" t="s">
        <v>199</v>
      </c>
      <c r="AU324" t="s">
        <v>197</v>
      </c>
      <c r="AZ324" t="s">
        <v>194</v>
      </c>
      <c r="BA324" t="s">
        <v>200</v>
      </c>
      <c r="BB324" t="s">
        <v>201</v>
      </c>
      <c r="BD324" t="s">
        <v>200</v>
      </c>
      <c r="BE324" t="s">
        <v>244</v>
      </c>
      <c r="BF324" t="s">
        <v>197</v>
      </c>
      <c r="BG324" t="s">
        <v>238</v>
      </c>
      <c r="BH324">
        <v>5</v>
      </c>
      <c r="BJ324" t="s">
        <v>205</v>
      </c>
      <c r="BK324" t="s">
        <v>206</v>
      </c>
      <c r="BL324" t="s">
        <v>194</v>
      </c>
      <c r="BO324" t="s">
        <v>216</v>
      </c>
      <c r="BP324" t="s">
        <v>216</v>
      </c>
      <c r="BQ324" s="3">
        <v>45566</v>
      </c>
      <c r="BR324" t="s">
        <v>232</v>
      </c>
      <c r="BT324" t="s">
        <v>197</v>
      </c>
      <c r="BV324" t="s">
        <v>233</v>
      </c>
      <c r="CA324" t="s">
        <v>194</v>
      </c>
      <c r="CB324" t="s">
        <v>214</v>
      </c>
      <c r="CF324" t="s">
        <v>215</v>
      </c>
      <c r="CH324" t="s">
        <v>214</v>
      </c>
      <c r="CI324" t="s">
        <v>214</v>
      </c>
      <c r="CJ324" t="s">
        <v>214</v>
      </c>
      <c r="CP324" t="s">
        <v>214</v>
      </c>
      <c r="CS324" t="s">
        <v>216</v>
      </c>
      <c r="CV324" t="s">
        <v>214</v>
      </c>
      <c r="CW324" t="s">
        <v>214</v>
      </c>
      <c r="CX324" t="s">
        <v>217</v>
      </c>
      <c r="CY324" t="s">
        <v>214</v>
      </c>
      <c r="DA324" t="s">
        <v>218</v>
      </c>
    </row>
    <row r="325" spans="1:105" x14ac:dyDescent="0.3">
      <c r="A325">
        <v>13776879</v>
      </c>
      <c r="B325">
        <v>9120182</v>
      </c>
      <c r="C325" t="str">
        <f>"140607603081"</f>
        <v>140607603081</v>
      </c>
      <c r="D325" t="s">
        <v>1026</v>
      </c>
      <c r="E325" t="s">
        <v>966</v>
      </c>
      <c r="F325" t="s">
        <v>358</v>
      </c>
      <c r="G325" s="1">
        <v>41797</v>
      </c>
      <c r="I325" t="s">
        <v>222</v>
      </c>
      <c r="J325" t="s">
        <v>188</v>
      </c>
      <c r="K325" t="s">
        <v>223</v>
      </c>
      <c r="Y325" t="str">
        <f>"2019-09-02T00:00:00"</f>
        <v>2019-09-02T00:00:00</v>
      </c>
      <c r="Z325" t="str">
        <f>"37"</f>
        <v>37</v>
      </c>
      <c r="AA325" t="s">
        <v>224</v>
      </c>
      <c r="AC325" t="s">
        <v>225</v>
      </c>
      <c r="AD325" t="s">
        <v>815</v>
      </c>
      <c r="AE325" t="s">
        <v>193</v>
      </c>
      <c r="AF325" t="s">
        <v>194</v>
      </c>
      <c r="AH325" t="s">
        <v>195</v>
      </c>
      <c r="AI325">
        <v>3</v>
      </c>
      <c r="AJ325" t="s">
        <v>196</v>
      </c>
      <c r="AK325" t="s">
        <v>194</v>
      </c>
      <c r="AL325" t="s">
        <v>197</v>
      </c>
      <c r="AM325" t="s">
        <v>228</v>
      </c>
      <c r="AR325" t="s">
        <v>194</v>
      </c>
      <c r="AS325" t="s">
        <v>199</v>
      </c>
      <c r="AU325" t="s">
        <v>197</v>
      </c>
      <c r="AZ325" t="s">
        <v>194</v>
      </c>
      <c r="BA325" t="s">
        <v>200</v>
      </c>
      <c r="BB325" t="s">
        <v>201</v>
      </c>
      <c r="BD325" t="s">
        <v>200</v>
      </c>
      <c r="BE325" t="s">
        <v>229</v>
      </c>
      <c r="BF325" t="s">
        <v>197</v>
      </c>
      <c r="BG325" t="s">
        <v>230</v>
      </c>
      <c r="BH325" t="s">
        <v>307</v>
      </c>
      <c r="BJ325" t="s">
        <v>205</v>
      </c>
      <c r="BK325" t="s">
        <v>206</v>
      </c>
      <c r="BL325" t="s">
        <v>194</v>
      </c>
      <c r="BO325" t="s">
        <v>200</v>
      </c>
      <c r="BP325" t="s">
        <v>200</v>
      </c>
      <c r="BQ325" t="s">
        <v>280</v>
      </c>
      <c r="BR325" t="s">
        <v>232</v>
      </c>
      <c r="BT325" t="s">
        <v>197</v>
      </c>
      <c r="BV325" t="s">
        <v>233</v>
      </c>
      <c r="CA325" t="s">
        <v>194</v>
      </c>
      <c r="CB325" t="s">
        <v>214</v>
      </c>
      <c r="CF325" t="s">
        <v>215</v>
      </c>
      <c r="CH325" t="s">
        <v>214</v>
      </c>
      <c r="CI325" t="s">
        <v>214</v>
      </c>
      <c r="CJ325" t="s">
        <v>214</v>
      </c>
      <c r="CP325" t="s">
        <v>214</v>
      </c>
      <c r="CS325" t="s">
        <v>216</v>
      </c>
      <c r="CV325" t="s">
        <v>214</v>
      </c>
      <c r="CW325" t="s">
        <v>214</v>
      </c>
      <c r="CX325" t="s">
        <v>217</v>
      </c>
      <c r="CY325" t="s">
        <v>214</v>
      </c>
      <c r="DA325" t="s">
        <v>218</v>
      </c>
    </row>
    <row r="326" spans="1:105" x14ac:dyDescent="0.3">
      <c r="A326">
        <v>15449884</v>
      </c>
      <c r="B326">
        <v>6511358</v>
      </c>
      <c r="C326" t="str">
        <f>"131208602663"</f>
        <v>131208602663</v>
      </c>
      <c r="D326" t="s">
        <v>1027</v>
      </c>
      <c r="E326" t="s">
        <v>1028</v>
      </c>
      <c r="F326" t="s">
        <v>571</v>
      </c>
      <c r="G326" s="1">
        <v>41616</v>
      </c>
      <c r="I326" t="s">
        <v>222</v>
      </c>
      <c r="J326" t="s">
        <v>188</v>
      </c>
      <c r="K326" t="s">
        <v>189</v>
      </c>
      <c r="Y326" t="str">
        <f>"2020-06-15T00:00:00"</f>
        <v>2020-06-15T00:00:00</v>
      </c>
      <c r="Z326" t="str">
        <f>"10"</f>
        <v>10</v>
      </c>
      <c r="AA326" t="s">
        <v>224</v>
      </c>
      <c r="AC326" t="s">
        <v>225</v>
      </c>
      <c r="AD326" t="s">
        <v>815</v>
      </c>
      <c r="AE326" t="s">
        <v>193</v>
      </c>
      <c r="AF326" t="s">
        <v>194</v>
      </c>
      <c r="AH326" t="s">
        <v>195</v>
      </c>
      <c r="AI326">
        <v>1</v>
      </c>
      <c r="AJ326" t="s">
        <v>196</v>
      </c>
      <c r="AK326" t="s">
        <v>194</v>
      </c>
      <c r="AL326" t="s">
        <v>197</v>
      </c>
      <c r="AM326" t="s">
        <v>198</v>
      </c>
      <c r="AR326" t="s">
        <v>194</v>
      </c>
      <c r="AS326" t="s">
        <v>199</v>
      </c>
      <c r="AU326" t="s">
        <v>197</v>
      </c>
      <c r="AZ326" t="s">
        <v>194</v>
      </c>
      <c r="BA326" t="s">
        <v>200</v>
      </c>
      <c r="BB326" t="s">
        <v>201</v>
      </c>
      <c r="BD326" t="s">
        <v>200</v>
      </c>
      <c r="BE326" t="s">
        <v>202</v>
      </c>
      <c r="BF326" t="s">
        <v>197</v>
      </c>
      <c r="BG326" t="s">
        <v>230</v>
      </c>
      <c r="BH326" t="s">
        <v>400</v>
      </c>
      <c r="BJ326" t="s">
        <v>205</v>
      </c>
      <c r="BK326" t="s">
        <v>206</v>
      </c>
      <c r="BL326" t="s">
        <v>194</v>
      </c>
      <c r="BO326" t="s">
        <v>200</v>
      </c>
      <c r="BP326" t="s">
        <v>200</v>
      </c>
      <c r="BQ326" t="s">
        <v>286</v>
      </c>
      <c r="BR326" t="s">
        <v>232</v>
      </c>
      <c r="BT326" t="s">
        <v>197</v>
      </c>
      <c r="BV326" t="s">
        <v>415</v>
      </c>
      <c r="BW326" t="s">
        <v>416</v>
      </c>
      <c r="BX326" t="s">
        <v>539</v>
      </c>
      <c r="BY326" t="s">
        <v>534</v>
      </c>
      <c r="BZ326" t="s">
        <v>616</v>
      </c>
      <c r="CA326" t="s">
        <v>194</v>
      </c>
      <c r="CB326" t="s">
        <v>214</v>
      </c>
      <c r="CF326" t="s">
        <v>215</v>
      </c>
      <c r="CH326" t="s">
        <v>214</v>
      </c>
      <c r="CI326" t="s">
        <v>214</v>
      </c>
      <c r="CJ326" t="s">
        <v>214</v>
      </c>
      <c r="CP326" t="s">
        <v>214</v>
      </c>
      <c r="CS326" t="s">
        <v>216</v>
      </c>
      <c r="CV326" t="s">
        <v>214</v>
      </c>
      <c r="CW326" t="s">
        <v>214</v>
      </c>
      <c r="CX326" t="s">
        <v>217</v>
      </c>
      <c r="CY326" t="s">
        <v>214</v>
      </c>
      <c r="DA326" t="s">
        <v>218</v>
      </c>
    </row>
    <row r="327" spans="1:105" x14ac:dyDescent="0.3">
      <c r="A327">
        <v>13777433</v>
      </c>
      <c r="B327">
        <v>955243</v>
      </c>
      <c r="C327" t="str">
        <f>"121212602570"</f>
        <v>121212602570</v>
      </c>
      <c r="D327" t="s">
        <v>1029</v>
      </c>
      <c r="E327" t="s">
        <v>496</v>
      </c>
      <c r="F327" t="s">
        <v>670</v>
      </c>
      <c r="G327" s="1">
        <v>41255</v>
      </c>
      <c r="I327" t="s">
        <v>222</v>
      </c>
      <c r="J327" t="s">
        <v>188</v>
      </c>
      <c r="K327" t="s">
        <v>223</v>
      </c>
      <c r="Y327" t="str">
        <f>"2019-08-21T00:00:00"</f>
        <v>2019-08-21T00:00:00</v>
      </c>
      <c r="Z327" t="str">
        <f>"№31"</f>
        <v>№31</v>
      </c>
      <c r="AA327" t="s">
        <v>190</v>
      </c>
      <c r="AC327" t="s">
        <v>191</v>
      </c>
      <c r="AD327" t="s">
        <v>615</v>
      </c>
      <c r="AE327" t="s">
        <v>243</v>
      </c>
      <c r="AF327" t="s">
        <v>194</v>
      </c>
      <c r="AH327" t="s">
        <v>195</v>
      </c>
      <c r="AI327">
        <v>1</v>
      </c>
      <c r="AJ327" t="s">
        <v>196</v>
      </c>
      <c r="AK327" t="s">
        <v>194</v>
      </c>
      <c r="AL327" t="s">
        <v>197</v>
      </c>
      <c r="AM327" t="s">
        <v>198</v>
      </c>
      <c r="AR327" t="s">
        <v>194</v>
      </c>
      <c r="AS327" t="s">
        <v>199</v>
      </c>
      <c r="AU327" t="s">
        <v>197</v>
      </c>
      <c r="AZ327" t="s">
        <v>194</v>
      </c>
      <c r="BA327" t="s">
        <v>200</v>
      </c>
      <c r="BB327" t="s">
        <v>201</v>
      </c>
      <c r="BC327" t="s">
        <v>200</v>
      </c>
      <c r="BE327" t="s">
        <v>202</v>
      </c>
      <c r="BF327" t="s">
        <v>197</v>
      </c>
      <c r="BG327" t="s">
        <v>230</v>
      </c>
      <c r="BH327" t="s">
        <v>420</v>
      </c>
      <c r="BJ327" t="s">
        <v>205</v>
      </c>
      <c r="BK327" t="s">
        <v>206</v>
      </c>
      <c r="BL327" t="s">
        <v>194</v>
      </c>
      <c r="BO327" t="s">
        <v>200</v>
      </c>
      <c r="BP327" t="s">
        <v>200</v>
      </c>
      <c r="BQ327" s="3">
        <v>45566</v>
      </c>
      <c r="BR327" t="s">
        <v>232</v>
      </c>
      <c r="BT327" t="s">
        <v>197</v>
      </c>
      <c r="BV327" t="s">
        <v>233</v>
      </c>
      <c r="CA327" t="s">
        <v>194</v>
      </c>
      <c r="CB327" t="s">
        <v>214</v>
      </c>
      <c r="CF327" t="s">
        <v>215</v>
      </c>
      <c r="CH327" t="s">
        <v>214</v>
      </c>
      <c r="CI327" t="s">
        <v>214</v>
      </c>
      <c r="CJ327" t="s">
        <v>214</v>
      </c>
      <c r="CP327" t="s">
        <v>214</v>
      </c>
      <c r="CS327" t="s">
        <v>216</v>
      </c>
      <c r="CV327" t="s">
        <v>214</v>
      </c>
      <c r="CW327" t="s">
        <v>214</v>
      </c>
      <c r="CX327" t="s">
        <v>217</v>
      </c>
      <c r="CY327" t="s">
        <v>214</v>
      </c>
      <c r="DA327" t="s">
        <v>218</v>
      </c>
    </row>
    <row r="328" spans="1:105" x14ac:dyDescent="0.3">
      <c r="A328">
        <v>15561097</v>
      </c>
      <c r="B328">
        <v>29888</v>
      </c>
      <c r="C328" t="str">
        <f>"130123600768"</f>
        <v>130123600768</v>
      </c>
      <c r="D328" t="s">
        <v>666</v>
      </c>
      <c r="E328" t="s">
        <v>1030</v>
      </c>
      <c r="F328" t="s">
        <v>221</v>
      </c>
      <c r="G328" s="1">
        <v>41297</v>
      </c>
      <c r="I328" t="s">
        <v>222</v>
      </c>
      <c r="J328" t="s">
        <v>188</v>
      </c>
      <c r="K328" t="s">
        <v>223</v>
      </c>
      <c r="Y328" t="str">
        <f>"2020-08-11T00:00:00"</f>
        <v>2020-08-11T00:00:00</v>
      </c>
      <c r="Z328" t="str">
        <f>"17"</f>
        <v>17</v>
      </c>
      <c r="AA328" t="s">
        <v>190</v>
      </c>
      <c r="AC328" t="s">
        <v>225</v>
      </c>
      <c r="AD328" t="s">
        <v>615</v>
      </c>
      <c r="AE328" t="s">
        <v>413</v>
      </c>
      <c r="AF328" t="s">
        <v>194</v>
      </c>
      <c r="AH328" t="s">
        <v>195</v>
      </c>
      <c r="AI328">
        <v>1</v>
      </c>
      <c r="AJ328" t="s">
        <v>196</v>
      </c>
      <c r="AK328" t="s">
        <v>194</v>
      </c>
      <c r="AL328" t="s">
        <v>197</v>
      </c>
      <c r="AM328" t="s">
        <v>198</v>
      </c>
      <c r="AR328" t="s">
        <v>194</v>
      </c>
      <c r="AS328" t="s">
        <v>199</v>
      </c>
      <c r="AU328" t="s">
        <v>197</v>
      </c>
      <c r="AZ328" t="s">
        <v>194</v>
      </c>
      <c r="BA328" t="s">
        <v>200</v>
      </c>
      <c r="BB328" t="s">
        <v>201</v>
      </c>
      <c r="BD328" t="s">
        <v>200</v>
      </c>
      <c r="BE328" t="s">
        <v>229</v>
      </c>
      <c r="BF328" t="s">
        <v>197</v>
      </c>
      <c r="BG328" t="s">
        <v>269</v>
      </c>
      <c r="BH328" t="s">
        <v>270</v>
      </c>
      <c r="BJ328" t="s">
        <v>205</v>
      </c>
      <c r="BK328" t="s">
        <v>206</v>
      </c>
      <c r="BL328" t="s">
        <v>194</v>
      </c>
      <c r="BO328" t="s">
        <v>200</v>
      </c>
      <c r="BP328" t="s">
        <v>200</v>
      </c>
      <c r="BQ328" t="s">
        <v>271</v>
      </c>
      <c r="BR328" t="s">
        <v>232</v>
      </c>
      <c r="BT328" t="s">
        <v>197</v>
      </c>
      <c r="BV328" t="s">
        <v>1031</v>
      </c>
      <c r="BW328" t="s">
        <v>472</v>
      </c>
      <c r="BX328" t="s">
        <v>211</v>
      </c>
      <c r="BY328" t="s">
        <v>534</v>
      </c>
      <c r="BZ328" t="s">
        <v>1032</v>
      </c>
      <c r="CA328" t="s">
        <v>194</v>
      </c>
      <c r="CB328" t="s">
        <v>214</v>
      </c>
      <c r="CF328" t="s">
        <v>215</v>
      </c>
      <c r="CH328" t="s">
        <v>214</v>
      </c>
      <c r="CI328" t="s">
        <v>214</v>
      </c>
      <c r="CJ328" t="s">
        <v>214</v>
      </c>
      <c r="CP328" t="s">
        <v>214</v>
      </c>
      <c r="CS328" t="s">
        <v>216</v>
      </c>
      <c r="CV328" t="s">
        <v>214</v>
      </c>
      <c r="CW328" t="s">
        <v>214</v>
      </c>
      <c r="CX328" t="s">
        <v>217</v>
      </c>
      <c r="CY328" t="s">
        <v>214</v>
      </c>
      <c r="DA328" t="s">
        <v>218</v>
      </c>
    </row>
    <row r="329" spans="1:105" x14ac:dyDescent="0.3">
      <c r="A329">
        <v>13777536</v>
      </c>
      <c r="B329">
        <v>6179207</v>
      </c>
      <c r="C329" t="str">
        <f>"130827500858"</f>
        <v>130827500858</v>
      </c>
      <c r="D329" t="s">
        <v>1033</v>
      </c>
      <c r="E329" t="s">
        <v>1034</v>
      </c>
      <c r="F329" t="s">
        <v>1035</v>
      </c>
      <c r="G329" s="1">
        <v>41513</v>
      </c>
      <c r="I329" t="s">
        <v>187</v>
      </c>
      <c r="J329" t="s">
        <v>188</v>
      </c>
      <c r="K329" t="s">
        <v>498</v>
      </c>
      <c r="Y329" t="str">
        <f>"2019-08-21T00:00:00"</f>
        <v>2019-08-21T00:00:00</v>
      </c>
      <c r="Z329" t="str">
        <f>"№31"</f>
        <v>№31</v>
      </c>
      <c r="AA329" t="s">
        <v>190</v>
      </c>
      <c r="AC329" t="s">
        <v>191</v>
      </c>
      <c r="AD329" t="s">
        <v>615</v>
      </c>
      <c r="AE329" t="s">
        <v>243</v>
      </c>
      <c r="AF329" t="s">
        <v>194</v>
      </c>
      <c r="AH329" t="s">
        <v>195</v>
      </c>
      <c r="AI329">
        <v>1</v>
      </c>
      <c r="AJ329" t="s">
        <v>196</v>
      </c>
      <c r="AK329" t="s">
        <v>194</v>
      </c>
      <c r="AL329" t="s">
        <v>197</v>
      </c>
      <c r="AM329" t="s">
        <v>198</v>
      </c>
      <c r="AR329" t="s">
        <v>194</v>
      </c>
      <c r="AS329" t="s">
        <v>199</v>
      </c>
      <c r="AU329" t="s">
        <v>197</v>
      </c>
      <c r="AZ329" t="s">
        <v>194</v>
      </c>
      <c r="BA329" t="s">
        <v>200</v>
      </c>
      <c r="BB329" t="s">
        <v>201</v>
      </c>
      <c r="BD329" t="s">
        <v>200</v>
      </c>
      <c r="BE329" t="s">
        <v>202</v>
      </c>
      <c r="BF329" t="s">
        <v>197</v>
      </c>
      <c r="BG329" t="s">
        <v>230</v>
      </c>
      <c r="BH329" t="s">
        <v>420</v>
      </c>
      <c r="BJ329" t="s">
        <v>205</v>
      </c>
      <c r="BK329" t="s">
        <v>206</v>
      </c>
      <c r="BL329" t="s">
        <v>194</v>
      </c>
      <c r="BO329" t="s">
        <v>216</v>
      </c>
      <c r="BP329" t="s">
        <v>216</v>
      </c>
      <c r="BQ329" s="3">
        <v>45566</v>
      </c>
      <c r="BR329" t="s">
        <v>232</v>
      </c>
      <c r="BT329" t="s">
        <v>197</v>
      </c>
      <c r="BV329" t="s">
        <v>233</v>
      </c>
      <c r="CA329" t="s">
        <v>194</v>
      </c>
      <c r="CB329" t="s">
        <v>214</v>
      </c>
      <c r="CF329" t="s">
        <v>215</v>
      </c>
      <c r="CH329" t="s">
        <v>214</v>
      </c>
      <c r="CI329" t="s">
        <v>214</v>
      </c>
      <c r="CJ329" t="s">
        <v>214</v>
      </c>
      <c r="CP329" t="s">
        <v>214</v>
      </c>
      <c r="CS329" t="s">
        <v>216</v>
      </c>
      <c r="CV329" t="s">
        <v>214</v>
      </c>
      <c r="CW329" t="s">
        <v>214</v>
      </c>
      <c r="CX329" t="s">
        <v>217</v>
      </c>
      <c r="CY329" t="s">
        <v>214</v>
      </c>
      <c r="DA329" t="s">
        <v>218</v>
      </c>
    </row>
    <row r="330" spans="1:105" x14ac:dyDescent="0.3">
      <c r="A330">
        <v>15623995</v>
      </c>
      <c r="B330">
        <v>6530861</v>
      </c>
      <c r="C330" t="str">
        <f>"090730552447"</f>
        <v>090730552447</v>
      </c>
      <c r="D330" t="s">
        <v>1036</v>
      </c>
      <c r="E330" t="s">
        <v>1037</v>
      </c>
      <c r="F330" t="s">
        <v>1038</v>
      </c>
      <c r="G330" s="1">
        <v>40024</v>
      </c>
      <c r="I330" t="s">
        <v>187</v>
      </c>
      <c r="J330" t="s">
        <v>188</v>
      </c>
      <c r="K330" t="s">
        <v>189</v>
      </c>
      <c r="Y330" t="str">
        <f>"2020-08-21T00:00:00"</f>
        <v>2020-08-21T00:00:00</v>
      </c>
      <c r="Z330" t="str">
        <f>"18"</f>
        <v>18</v>
      </c>
      <c r="AA330" t="s">
        <v>190</v>
      </c>
      <c r="AC330" t="s">
        <v>191</v>
      </c>
      <c r="AD330" t="s">
        <v>242</v>
      </c>
      <c r="AE330" t="s">
        <v>193</v>
      </c>
      <c r="AF330" t="s">
        <v>194</v>
      </c>
      <c r="AH330" t="s">
        <v>195</v>
      </c>
      <c r="AI330">
        <v>2</v>
      </c>
      <c r="AJ330" t="s">
        <v>196</v>
      </c>
      <c r="AK330" t="s">
        <v>194</v>
      </c>
      <c r="AL330" t="s">
        <v>197</v>
      </c>
      <c r="AM330" t="s">
        <v>198</v>
      </c>
      <c r="AR330" t="s">
        <v>194</v>
      </c>
      <c r="AS330" t="s">
        <v>199</v>
      </c>
      <c r="AU330" t="s">
        <v>197</v>
      </c>
      <c r="AZ330" t="s">
        <v>194</v>
      </c>
      <c r="BB330" t="s">
        <v>201</v>
      </c>
      <c r="BD330" t="s">
        <v>200</v>
      </c>
      <c r="BE330" t="s">
        <v>202</v>
      </c>
      <c r="BF330" t="s">
        <v>197</v>
      </c>
      <c r="BG330" t="s">
        <v>230</v>
      </c>
      <c r="BH330" t="s">
        <v>400</v>
      </c>
      <c r="BJ330" t="s">
        <v>205</v>
      </c>
      <c r="BK330" t="s">
        <v>206</v>
      </c>
      <c r="BL330" t="s">
        <v>194</v>
      </c>
      <c r="BO330" t="s">
        <v>216</v>
      </c>
      <c r="BP330" t="s">
        <v>216</v>
      </c>
      <c r="BR330" t="s">
        <v>232</v>
      </c>
      <c r="BT330" t="s">
        <v>197</v>
      </c>
      <c r="BV330" t="s">
        <v>1039</v>
      </c>
      <c r="BW330" t="s">
        <v>840</v>
      </c>
      <c r="BX330" t="s">
        <v>1040</v>
      </c>
      <c r="BY330" t="s">
        <v>212</v>
      </c>
      <c r="BZ330" t="s">
        <v>1041</v>
      </c>
      <c r="CA330" t="s">
        <v>194</v>
      </c>
      <c r="CB330" t="s">
        <v>214</v>
      </c>
      <c r="CF330" t="s">
        <v>215</v>
      </c>
      <c r="CH330" t="s">
        <v>214</v>
      </c>
      <c r="CI330" t="s">
        <v>214</v>
      </c>
      <c r="CJ330" t="s">
        <v>214</v>
      </c>
      <c r="CP330" t="s">
        <v>214</v>
      </c>
      <c r="CS330" t="s">
        <v>216</v>
      </c>
      <c r="CV330" t="s">
        <v>214</v>
      </c>
      <c r="CW330" t="s">
        <v>214</v>
      </c>
      <c r="CX330" t="s">
        <v>217</v>
      </c>
      <c r="CY330" t="s">
        <v>214</v>
      </c>
      <c r="DA330" t="s">
        <v>218</v>
      </c>
    </row>
    <row r="331" spans="1:105" x14ac:dyDescent="0.3">
      <c r="A331">
        <v>13777618</v>
      </c>
      <c r="B331">
        <v>618609</v>
      </c>
      <c r="C331" t="str">
        <f>"121004500785"</f>
        <v>121004500785</v>
      </c>
      <c r="D331" t="s">
        <v>1042</v>
      </c>
      <c r="E331" t="s">
        <v>1043</v>
      </c>
      <c r="F331" t="s">
        <v>504</v>
      </c>
      <c r="G331" s="1">
        <v>41186</v>
      </c>
      <c r="I331" t="s">
        <v>187</v>
      </c>
      <c r="J331" t="s">
        <v>188</v>
      </c>
      <c r="K331" t="s">
        <v>189</v>
      </c>
      <c r="Y331" t="str">
        <f>"2019-08-21T00:00:00"</f>
        <v>2019-08-21T00:00:00</v>
      </c>
      <c r="Z331" t="str">
        <f>"№31"</f>
        <v>№31</v>
      </c>
      <c r="AA331" t="s">
        <v>190</v>
      </c>
      <c r="AC331" t="s">
        <v>191</v>
      </c>
      <c r="AD331" t="s">
        <v>615</v>
      </c>
      <c r="AE331" t="s">
        <v>243</v>
      </c>
      <c r="AF331" t="s">
        <v>194</v>
      </c>
      <c r="AH331" t="s">
        <v>195</v>
      </c>
      <c r="AI331">
        <v>1</v>
      </c>
      <c r="AJ331" t="s">
        <v>196</v>
      </c>
      <c r="AK331" t="s">
        <v>194</v>
      </c>
      <c r="AL331" t="s">
        <v>197</v>
      </c>
      <c r="AM331" t="s">
        <v>228</v>
      </c>
      <c r="AR331" t="s">
        <v>194</v>
      </c>
      <c r="AS331" t="s">
        <v>199</v>
      </c>
      <c r="AU331" t="s">
        <v>197</v>
      </c>
      <c r="AZ331" t="s">
        <v>194</v>
      </c>
      <c r="BA331" t="s">
        <v>200</v>
      </c>
      <c r="BB331" t="s">
        <v>201</v>
      </c>
      <c r="BD331" t="s">
        <v>200</v>
      </c>
      <c r="BE331" t="s">
        <v>202</v>
      </c>
      <c r="BF331" t="s">
        <v>197</v>
      </c>
      <c r="BG331" t="s">
        <v>230</v>
      </c>
      <c r="BH331" t="s">
        <v>420</v>
      </c>
      <c r="BJ331" t="s">
        <v>205</v>
      </c>
      <c r="BK331" t="s">
        <v>206</v>
      </c>
      <c r="BL331" t="s">
        <v>194</v>
      </c>
      <c r="BO331" t="s">
        <v>200</v>
      </c>
      <c r="BP331" t="s">
        <v>200</v>
      </c>
      <c r="BQ331" s="3">
        <v>45566</v>
      </c>
      <c r="BR331" t="s">
        <v>232</v>
      </c>
      <c r="BT331" t="s">
        <v>197</v>
      </c>
      <c r="BV331" t="s">
        <v>233</v>
      </c>
      <c r="CA331" t="s">
        <v>194</v>
      </c>
      <c r="CB331" t="s">
        <v>214</v>
      </c>
      <c r="CF331" t="s">
        <v>215</v>
      </c>
      <c r="CH331" t="s">
        <v>214</v>
      </c>
      <c r="CI331" t="s">
        <v>214</v>
      </c>
      <c r="CJ331" t="s">
        <v>214</v>
      </c>
      <c r="CP331" t="s">
        <v>214</v>
      </c>
      <c r="CS331" t="s">
        <v>216</v>
      </c>
      <c r="CV331" t="s">
        <v>214</v>
      </c>
      <c r="CW331" t="s">
        <v>214</v>
      </c>
      <c r="CX331" t="s">
        <v>217</v>
      </c>
      <c r="CY331" t="s">
        <v>214</v>
      </c>
      <c r="DA331" t="s">
        <v>218</v>
      </c>
    </row>
    <row r="332" spans="1:105" x14ac:dyDescent="0.3">
      <c r="A332">
        <v>13777715</v>
      </c>
      <c r="B332">
        <v>955996</v>
      </c>
      <c r="C332" t="str">
        <f>"130121602357"</f>
        <v>130121602357</v>
      </c>
      <c r="D332" t="s">
        <v>257</v>
      </c>
      <c r="E332" t="s">
        <v>398</v>
      </c>
      <c r="F332" t="s">
        <v>379</v>
      </c>
      <c r="G332" s="1">
        <v>41295</v>
      </c>
      <c r="I332" t="s">
        <v>222</v>
      </c>
      <c r="J332" t="s">
        <v>188</v>
      </c>
      <c r="K332" t="s">
        <v>260</v>
      </c>
      <c r="Y332" t="str">
        <f>"2019-08-21T00:00:00"</f>
        <v>2019-08-21T00:00:00</v>
      </c>
      <c r="Z332" t="str">
        <f>"№31"</f>
        <v>№31</v>
      </c>
      <c r="AA332" t="s">
        <v>224</v>
      </c>
      <c r="AC332" t="s">
        <v>225</v>
      </c>
      <c r="AD332" t="s">
        <v>615</v>
      </c>
      <c r="AE332" t="s">
        <v>243</v>
      </c>
      <c r="AF332" t="s">
        <v>194</v>
      </c>
      <c r="AH332" t="s">
        <v>195</v>
      </c>
      <c r="AI332">
        <v>1</v>
      </c>
      <c r="AJ332" t="s">
        <v>196</v>
      </c>
      <c r="AK332" t="s">
        <v>194</v>
      </c>
      <c r="AL332" t="s">
        <v>197</v>
      </c>
      <c r="AM332" t="s">
        <v>198</v>
      </c>
      <c r="AR332" t="s">
        <v>194</v>
      </c>
      <c r="AS332" t="s">
        <v>199</v>
      </c>
      <c r="AU332" t="s">
        <v>197</v>
      </c>
      <c r="AZ332" t="s">
        <v>194</v>
      </c>
      <c r="BA332" t="s">
        <v>200</v>
      </c>
      <c r="BB332" t="s">
        <v>201</v>
      </c>
      <c r="BD332" t="s">
        <v>200</v>
      </c>
      <c r="BE332" t="s">
        <v>244</v>
      </c>
      <c r="BF332" t="s">
        <v>197</v>
      </c>
      <c r="BG332" t="s">
        <v>238</v>
      </c>
      <c r="BH332">
        <v>5</v>
      </c>
      <c r="BJ332" t="s">
        <v>205</v>
      </c>
      <c r="BK332" t="s">
        <v>206</v>
      </c>
      <c r="BL332" t="s">
        <v>194</v>
      </c>
      <c r="BO332" t="s">
        <v>216</v>
      </c>
      <c r="BP332" t="s">
        <v>216</v>
      </c>
      <c r="BQ332" s="3">
        <v>45566</v>
      </c>
      <c r="BR332" t="s">
        <v>232</v>
      </c>
      <c r="BT332" t="s">
        <v>197</v>
      </c>
      <c r="BV332" t="s">
        <v>233</v>
      </c>
      <c r="CA332" t="s">
        <v>194</v>
      </c>
      <c r="CB332" t="s">
        <v>214</v>
      </c>
      <c r="CF332" t="s">
        <v>215</v>
      </c>
      <c r="CH332" t="s">
        <v>214</v>
      </c>
      <c r="CI332" t="s">
        <v>214</v>
      </c>
      <c r="CJ332" t="s">
        <v>214</v>
      </c>
      <c r="CP332" t="s">
        <v>214</v>
      </c>
      <c r="CS332" t="s">
        <v>216</v>
      </c>
      <c r="CV332" t="s">
        <v>214</v>
      </c>
      <c r="CW332" t="s">
        <v>214</v>
      </c>
      <c r="CX332" t="s">
        <v>217</v>
      </c>
      <c r="CY332" t="s">
        <v>214</v>
      </c>
      <c r="DA332" t="s">
        <v>218</v>
      </c>
    </row>
    <row r="333" spans="1:105" x14ac:dyDescent="0.3">
      <c r="A333">
        <v>13792715</v>
      </c>
      <c r="B333">
        <v>9125182</v>
      </c>
      <c r="C333" t="str">
        <f>"130227503474"</f>
        <v>130227503474</v>
      </c>
      <c r="D333" t="s">
        <v>1044</v>
      </c>
      <c r="E333" t="s">
        <v>322</v>
      </c>
      <c r="F333" t="s">
        <v>344</v>
      </c>
      <c r="G333" s="1">
        <v>41332</v>
      </c>
      <c r="I333" t="s">
        <v>187</v>
      </c>
      <c r="J333" t="s">
        <v>188</v>
      </c>
      <c r="K333" t="s">
        <v>223</v>
      </c>
      <c r="Y333" t="str">
        <f>"2019-08-21T00:00:00"</f>
        <v>2019-08-21T00:00:00</v>
      </c>
      <c r="Z333" t="str">
        <f>"31"</f>
        <v>31</v>
      </c>
      <c r="AA333" t="s">
        <v>190</v>
      </c>
      <c r="AC333" t="s">
        <v>225</v>
      </c>
      <c r="AD333" t="s">
        <v>615</v>
      </c>
      <c r="AE333" t="s">
        <v>243</v>
      </c>
      <c r="AF333" t="s">
        <v>194</v>
      </c>
      <c r="AH333" t="s">
        <v>195</v>
      </c>
      <c r="AI333">
        <v>1</v>
      </c>
      <c r="AJ333" t="s">
        <v>196</v>
      </c>
      <c r="AK333" t="s">
        <v>194</v>
      </c>
      <c r="AL333" t="s">
        <v>197</v>
      </c>
      <c r="AM333" t="s">
        <v>198</v>
      </c>
      <c r="AR333" t="s">
        <v>194</v>
      </c>
      <c r="AS333" t="s">
        <v>199</v>
      </c>
      <c r="AU333" t="s">
        <v>197</v>
      </c>
      <c r="AZ333" t="s">
        <v>194</v>
      </c>
      <c r="BA333" t="s">
        <v>200</v>
      </c>
      <c r="BB333" t="s">
        <v>201</v>
      </c>
      <c r="BD333" t="s">
        <v>200</v>
      </c>
      <c r="BE333" t="s">
        <v>244</v>
      </c>
      <c r="BF333" t="s">
        <v>197</v>
      </c>
      <c r="BG333" t="s">
        <v>238</v>
      </c>
      <c r="BH333">
        <v>5</v>
      </c>
      <c r="BJ333" t="s">
        <v>205</v>
      </c>
      <c r="BK333" t="s">
        <v>206</v>
      </c>
      <c r="BL333" t="s">
        <v>194</v>
      </c>
      <c r="BO333" t="s">
        <v>216</v>
      </c>
      <c r="BP333" t="s">
        <v>216</v>
      </c>
      <c r="BQ333" s="3">
        <v>45566</v>
      </c>
      <c r="BR333" t="s">
        <v>232</v>
      </c>
      <c r="BT333" t="s">
        <v>197</v>
      </c>
      <c r="BV333" t="s">
        <v>233</v>
      </c>
      <c r="CA333" t="s">
        <v>194</v>
      </c>
      <c r="CB333" t="s">
        <v>214</v>
      </c>
      <c r="CF333" t="s">
        <v>215</v>
      </c>
      <c r="CH333" t="s">
        <v>214</v>
      </c>
      <c r="CI333" t="s">
        <v>214</v>
      </c>
      <c r="CJ333" t="s">
        <v>214</v>
      </c>
      <c r="CP333" t="s">
        <v>214</v>
      </c>
      <c r="CS333" t="s">
        <v>216</v>
      </c>
      <c r="CV333" t="s">
        <v>214</v>
      </c>
      <c r="CW333" t="s">
        <v>214</v>
      </c>
      <c r="CX333" t="s">
        <v>217</v>
      </c>
      <c r="CY333" t="s">
        <v>214</v>
      </c>
      <c r="DA333" t="s">
        <v>218</v>
      </c>
    </row>
    <row r="334" spans="1:105" x14ac:dyDescent="0.3">
      <c r="A334">
        <v>13792871</v>
      </c>
      <c r="B334">
        <v>9125235</v>
      </c>
      <c r="C334" t="str">
        <f>"130710505179"</f>
        <v>130710505179</v>
      </c>
      <c r="D334" t="s">
        <v>1045</v>
      </c>
      <c r="E334" t="s">
        <v>941</v>
      </c>
      <c r="F334" t="s">
        <v>1046</v>
      </c>
      <c r="G334" s="1">
        <v>41465</v>
      </c>
      <c r="I334" t="s">
        <v>187</v>
      </c>
      <c r="J334" t="s">
        <v>188</v>
      </c>
      <c r="K334" t="s">
        <v>189</v>
      </c>
      <c r="Y334" t="str">
        <f>"2019-08-21T00:00:00"</f>
        <v>2019-08-21T00:00:00</v>
      </c>
      <c r="Z334" t="str">
        <f>"№31"</f>
        <v>№31</v>
      </c>
      <c r="AA334" t="s">
        <v>190</v>
      </c>
      <c r="AC334" t="s">
        <v>191</v>
      </c>
      <c r="AD334" t="s">
        <v>615</v>
      </c>
      <c r="AE334" t="s">
        <v>413</v>
      </c>
      <c r="AF334" t="s">
        <v>194</v>
      </c>
      <c r="AH334" t="s">
        <v>195</v>
      </c>
      <c r="AI334">
        <v>1</v>
      </c>
      <c r="AJ334" t="s">
        <v>196</v>
      </c>
      <c r="AK334" t="s">
        <v>194</v>
      </c>
      <c r="AL334" t="s">
        <v>197</v>
      </c>
      <c r="AM334" t="s">
        <v>228</v>
      </c>
      <c r="AR334" t="s">
        <v>194</v>
      </c>
      <c r="AS334" t="s">
        <v>199</v>
      </c>
      <c r="AU334" t="s">
        <v>197</v>
      </c>
      <c r="AZ334" t="s">
        <v>194</v>
      </c>
      <c r="BA334" t="s">
        <v>200</v>
      </c>
      <c r="BB334" t="s">
        <v>201</v>
      </c>
      <c r="BD334" t="s">
        <v>200</v>
      </c>
      <c r="BE334" t="s">
        <v>202</v>
      </c>
      <c r="BF334" t="s">
        <v>197</v>
      </c>
      <c r="BG334" t="s">
        <v>230</v>
      </c>
      <c r="BH334" t="s">
        <v>420</v>
      </c>
      <c r="BJ334" t="s">
        <v>205</v>
      </c>
      <c r="BK334" t="s">
        <v>206</v>
      </c>
      <c r="BL334" t="s">
        <v>194</v>
      </c>
      <c r="BO334" t="s">
        <v>200</v>
      </c>
      <c r="BP334" t="s">
        <v>200</v>
      </c>
      <c r="BQ334" s="3">
        <v>45566</v>
      </c>
      <c r="BR334" t="s">
        <v>232</v>
      </c>
      <c r="BT334" t="s">
        <v>197</v>
      </c>
      <c r="BV334" t="s">
        <v>233</v>
      </c>
      <c r="CA334" t="s">
        <v>194</v>
      </c>
      <c r="CB334" t="s">
        <v>214</v>
      </c>
      <c r="CF334" t="s">
        <v>215</v>
      </c>
      <c r="CH334" t="s">
        <v>214</v>
      </c>
      <c r="CI334" t="s">
        <v>214</v>
      </c>
      <c r="CJ334" t="s">
        <v>214</v>
      </c>
      <c r="CP334" t="s">
        <v>214</v>
      </c>
      <c r="CS334" t="s">
        <v>216</v>
      </c>
      <c r="CV334" t="s">
        <v>214</v>
      </c>
      <c r="CW334" t="s">
        <v>214</v>
      </c>
      <c r="CX334" t="s">
        <v>217</v>
      </c>
      <c r="CY334" t="s">
        <v>214</v>
      </c>
      <c r="DA334" t="s">
        <v>218</v>
      </c>
    </row>
    <row r="335" spans="1:105" x14ac:dyDescent="0.3">
      <c r="A335">
        <v>15642929</v>
      </c>
      <c r="B335">
        <v>4577640</v>
      </c>
      <c r="C335" t="str">
        <f>"140125604446"</f>
        <v>140125604446</v>
      </c>
      <c r="D335" t="s">
        <v>1047</v>
      </c>
      <c r="E335" t="s">
        <v>1048</v>
      </c>
      <c r="F335" t="s">
        <v>521</v>
      </c>
      <c r="G335" s="1">
        <v>41664</v>
      </c>
      <c r="I335" t="s">
        <v>222</v>
      </c>
      <c r="J335" t="s">
        <v>188</v>
      </c>
      <c r="K335" t="s">
        <v>260</v>
      </c>
      <c r="Y335" t="str">
        <f>"2020-07-20T00:00:00"</f>
        <v>2020-07-20T00:00:00</v>
      </c>
      <c r="Z335" t="str">
        <f>"13"</f>
        <v>13</v>
      </c>
      <c r="AA335" t="s">
        <v>190</v>
      </c>
      <c r="AC335" t="s">
        <v>225</v>
      </c>
      <c r="AD335" t="s">
        <v>815</v>
      </c>
      <c r="AE335" t="s">
        <v>243</v>
      </c>
      <c r="AF335" t="s">
        <v>194</v>
      </c>
      <c r="AH335" t="s">
        <v>195</v>
      </c>
      <c r="AI335">
        <v>1</v>
      </c>
      <c r="AJ335" t="s">
        <v>196</v>
      </c>
      <c r="AK335" t="s">
        <v>194</v>
      </c>
      <c r="AL335" t="s">
        <v>197</v>
      </c>
      <c r="AM335" t="s">
        <v>198</v>
      </c>
      <c r="AR335" t="s">
        <v>194</v>
      </c>
      <c r="AS335" t="s">
        <v>199</v>
      </c>
      <c r="AU335" t="s">
        <v>197</v>
      </c>
      <c r="AZ335" t="s">
        <v>194</v>
      </c>
      <c r="BA335" t="s">
        <v>200</v>
      </c>
      <c r="BB335" t="s">
        <v>201</v>
      </c>
      <c r="BD335" t="s">
        <v>200</v>
      </c>
      <c r="BE335" t="s">
        <v>202</v>
      </c>
      <c r="BF335" t="s">
        <v>197</v>
      </c>
      <c r="BG335" t="s">
        <v>230</v>
      </c>
      <c r="BH335" t="s">
        <v>400</v>
      </c>
      <c r="BJ335" t="s">
        <v>205</v>
      </c>
      <c r="BK335" t="s">
        <v>206</v>
      </c>
      <c r="BL335" t="s">
        <v>194</v>
      </c>
      <c r="BO335" t="s">
        <v>216</v>
      </c>
      <c r="BP335" t="s">
        <v>216</v>
      </c>
      <c r="BQ335" t="s">
        <v>280</v>
      </c>
      <c r="BR335" t="s">
        <v>232</v>
      </c>
      <c r="BT335" t="s">
        <v>197</v>
      </c>
      <c r="BV335" t="s">
        <v>233</v>
      </c>
      <c r="CA335" t="s">
        <v>194</v>
      </c>
      <c r="CB335" t="s">
        <v>214</v>
      </c>
      <c r="CF335" t="s">
        <v>215</v>
      </c>
      <c r="CH335" t="s">
        <v>214</v>
      </c>
      <c r="CI335" t="s">
        <v>214</v>
      </c>
      <c r="CJ335" t="s">
        <v>214</v>
      </c>
      <c r="CP335" t="s">
        <v>214</v>
      </c>
      <c r="CS335" t="s">
        <v>216</v>
      </c>
      <c r="CV335" t="s">
        <v>214</v>
      </c>
      <c r="CW335" t="s">
        <v>214</v>
      </c>
      <c r="CX335" t="s">
        <v>217</v>
      </c>
      <c r="CY335" t="s">
        <v>214</v>
      </c>
      <c r="DA335" t="s">
        <v>218</v>
      </c>
    </row>
    <row r="336" spans="1:105" x14ac:dyDescent="0.3">
      <c r="A336">
        <v>1230616</v>
      </c>
      <c r="B336">
        <v>934558</v>
      </c>
      <c r="C336" t="str">
        <f>"110216504855"</f>
        <v>110216504855</v>
      </c>
      <c r="D336" t="s">
        <v>1049</v>
      </c>
      <c r="E336" t="s">
        <v>752</v>
      </c>
      <c r="F336" t="s">
        <v>344</v>
      </c>
      <c r="G336" s="1">
        <v>40590</v>
      </c>
      <c r="I336" t="s">
        <v>187</v>
      </c>
      <c r="J336" t="s">
        <v>188</v>
      </c>
      <c r="K336" t="s">
        <v>223</v>
      </c>
      <c r="Y336" t="str">
        <f>"2017-08-21T00:00:00"</f>
        <v>2017-08-21T00:00:00</v>
      </c>
      <c r="Z336" t="str">
        <f>"№27"</f>
        <v>№27</v>
      </c>
      <c r="AA336" t="s">
        <v>224</v>
      </c>
      <c r="AC336" t="s">
        <v>225</v>
      </c>
      <c r="AD336" t="s">
        <v>261</v>
      </c>
      <c r="AE336" t="s">
        <v>243</v>
      </c>
      <c r="AF336" t="s">
        <v>194</v>
      </c>
      <c r="AH336" t="s">
        <v>195</v>
      </c>
      <c r="AI336">
        <v>2</v>
      </c>
      <c r="AJ336" t="s">
        <v>196</v>
      </c>
      <c r="AK336" t="s">
        <v>194</v>
      </c>
      <c r="AL336" t="s">
        <v>197</v>
      </c>
      <c r="AM336" t="s">
        <v>228</v>
      </c>
      <c r="AR336" t="s">
        <v>194</v>
      </c>
      <c r="AS336" t="s">
        <v>199</v>
      </c>
      <c r="AU336" t="s">
        <v>197</v>
      </c>
      <c r="AZ336" t="s">
        <v>194</v>
      </c>
      <c r="BA336" t="s">
        <v>200</v>
      </c>
      <c r="BB336" t="s">
        <v>201</v>
      </c>
      <c r="BC336" t="s">
        <v>317</v>
      </c>
      <c r="BD336" t="s">
        <v>200</v>
      </c>
      <c r="BE336" t="s">
        <v>229</v>
      </c>
      <c r="BF336" t="s">
        <v>197</v>
      </c>
      <c r="BG336" t="s">
        <v>269</v>
      </c>
      <c r="BH336" t="s">
        <v>270</v>
      </c>
      <c r="BJ336" t="s">
        <v>205</v>
      </c>
      <c r="BK336" t="s">
        <v>206</v>
      </c>
      <c r="BL336" t="s">
        <v>194</v>
      </c>
      <c r="BO336" t="s">
        <v>200</v>
      </c>
      <c r="BP336" t="s">
        <v>200</v>
      </c>
      <c r="BR336" t="s">
        <v>232</v>
      </c>
      <c r="BT336" t="s">
        <v>197</v>
      </c>
      <c r="BV336" t="s">
        <v>233</v>
      </c>
      <c r="CA336" t="s">
        <v>194</v>
      </c>
      <c r="CB336" t="s">
        <v>214</v>
      </c>
      <c r="CF336" t="s">
        <v>215</v>
      </c>
      <c r="CH336" t="s">
        <v>214</v>
      </c>
      <c r="CI336" t="s">
        <v>214</v>
      </c>
      <c r="CJ336" t="s">
        <v>214</v>
      </c>
      <c r="CP336" t="s">
        <v>214</v>
      </c>
      <c r="CS336" t="s">
        <v>216</v>
      </c>
      <c r="CV336" t="s">
        <v>214</v>
      </c>
      <c r="CW336" t="s">
        <v>214</v>
      </c>
      <c r="CX336" t="s">
        <v>217</v>
      </c>
      <c r="CY336" t="s">
        <v>214</v>
      </c>
      <c r="DA336" t="s">
        <v>218</v>
      </c>
    </row>
    <row r="337" spans="1:105" x14ac:dyDescent="0.3">
      <c r="A337">
        <v>1230740</v>
      </c>
      <c r="B337">
        <v>934638</v>
      </c>
      <c r="C337" t="str">
        <f>"120117603143"</f>
        <v>120117603143</v>
      </c>
      <c r="D337" t="s">
        <v>738</v>
      </c>
      <c r="E337" t="s">
        <v>1050</v>
      </c>
      <c r="F337" t="s">
        <v>740</v>
      </c>
      <c r="G337" s="1">
        <v>40925</v>
      </c>
      <c r="I337" t="s">
        <v>222</v>
      </c>
      <c r="J337" t="s">
        <v>188</v>
      </c>
      <c r="K337" t="s">
        <v>284</v>
      </c>
      <c r="Y337" t="str">
        <f>"2017-09-20T00:00:00"</f>
        <v>2017-09-20T00:00:00</v>
      </c>
      <c r="Z337" t="str">
        <f>"№38"</f>
        <v>№38</v>
      </c>
      <c r="AA337" t="s">
        <v>224</v>
      </c>
      <c r="AC337" t="s">
        <v>191</v>
      </c>
      <c r="AD337" t="s">
        <v>285</v>
      </c>
      <c r="AE337" t="s">
        <v>227</v>
      </c>
      <c r="AF337" t="s">
        <v>194</v>
      </c>
      <c r="AH337" t="s">
        <v>195</v>
      </c>
      <c r="AI337">
        <v>2</v>
      </c>
      <c r="AJ337" t="s">
        <v>196</v>
      </c>
      <c r="AK337" t="s">
        <v>194</v>
      </c>
      <c r="AL337" t="s">
        <v>197</v>
      </c>
      <c r="AM337" t="s">
        <v>198</v>
      </c>
      <c r="AR337" t="s">
        <v>194</v>
      </c>
      <c r="AS337" t="s">
        <v>199</v>
      </c>
      <c r="AU337" t="s">
        <v>197</v>
      </c>
      <c r="AZ337" t="s">
        <v>194</v>
      </c>
      <c r="BA337" t="s">
        <v>200</v>
      </c>
      <c r="BB337" t="s">
        <v>201</v>
      </c>
      <c r="BC337" t="s">
        <v>317</v>
      </c>
      <c r="BD337" t="s">
        <v>200</v>
      </c>
      <c r="BE337" t="s">
        <v>229</v>
      </c>
      <c r="BF337" t="s">
        <v>197</v>
      </c>
      <c r="BG337" t="s">
        <v>238</v>
      </c>
      <c r="BH337">
        <v>4</v>
      </c>
      <c r="BJ337" t="s">
        <v>205</v>
      </c>
      <c r="BK337" t="s">
        <v>206</v>
      </c>
      <c r="BL337" t="s">
        <v>194</v>
      </c>
      <c r="BO337" t="s">
        <v>216</v>
      </c>
      <c r="BP337" t="s">
        <v>216</v>
      </c>
      <c r="BQ337" t="s">
        <v>286</v>
      </c>
      <c r="BR337" t="s">
        <v>232</v>
      </c>
      <c r="BT337" t="s">
        <v>197</v>
      </c>
      <c r="BV337" t="s">
        <v>233</v>
      </c>
      <c r="CA337" t="s">
        <v>194</v>
      </c>
      <c r="CB337" t="s">
        <v>214</v>
      </c>
      <c r="CF337" t="s">
        <v>215</v>
      </c>
      <c r="CH337" t="s">
        <v>214</v>
      </c>
      <c r="CI337" t="s">
        <v>214</v>
      </c>
      <c r="CJ337" t="s">
        <v>214</v>
      </c>
      <c r="CP337" t="s">
        <v>214</v>
      </c>
      <c r="CS337" t="s">
        <v>216</v>
      </c>
      <c r="CV337" t="s">
        <v>214</v>
      </c>
      <c r="CW337" t="s">
        <v>214</v>
      </c>
      <c r="CX337" t="s">
        <v>217</v>
      </c>
      <c r="CY337" t="s">
        <v>214</v>
      </c>
      <c r="DA337" t="s">
        <v>218</v>
      </c>
    </row>
    <row r="338" spans="1:105" x14ac:dyDescent="0.3">
      <c r="A338">
        <v>13798352</v>
      </c>
      <c r="B338">
        <v>6508900</v>
      </c>
      <c r="C338" t="str">
        <f>"120314601287"</f>
        <v>120314601287</v>
      </c>
      <c r="D338" t="s">
        <v>1051</v>
      </c>
      <c r="E338" t="s">
        <v>398</v>
      </c>
      <c r="F338" t="s">
        <v>379</v>
      </c>
      <c r="G338" s="1">
        <v>40982</v>
      </c>
      <c r="I338" t="s">
        <v>222</v>
      </c>
      <c r="J338" t="s">
        <v>188</v>
      </c>
      <c r="K338" t="s">
        <v>223</v>
      </c>
      <c r="Y338" t="str">
        <f>"2019-08-21T00:00:00"</f>
        <v>2019-08-21T00:00:00</v>
      </c>
      <c r="Z338" t="str">
        <f>"31"</f>
        <v>31</v>
      </c>
      <c r="AA338" t="s">
        <v>190</v>
      </c>
      <c r="AC338" t="s">
        <v>191</v>
      </c>
      <c r="AD338" t="s">
        <v>615</v>
      </c>
      <c r="AE338" t="s">
        <v>243</v>
      </c>
      <c r="AF338" t="s">
        <v>194</v>
      </c>
      <c r="AH338" t="s">
        <v>195</v>
      </c>
      <c r="AI338">
        <v>1</v>
      </c>
      <c r="AJ338" t="s">
        <v>196</v>
      </c>
      <c r="AK338" t="s">
        <v>194</v>
      </c>
      <c r="AL338" t="s">
        <v>197</v>
      </c>
      <c r="AM338" t="s">
        <v>228</v>
      </c>
      <c r="AR338" t="s">
        <v>194</v>
      </c>
      <c r="AS338" t="s">
        <v>199</v>
      </c>
      <c r="AU338" t="s">
        <v>197</v>
      </c>
      <c r="AZ338" t="s">
        <v>194</v>
      </c>
      <c r="BA338" t="s">
        <v>200</v>
      </c>
      <c r="BB338" t="s">
        <v>201</v>
      </c>
      <c r="BD338" t="s">
        <v>200</v>
      </c>
      <c r="BE338" t="s">
        <v>244</v>
      </c>
      <c r="BF338" t="s">
        <v>197</v>
      </c>
      <c r="BG338" t="s">
        <v>238</v>
      </c>
      <c r="BH338">
        <v>5</v>
      </c>
      <c r="BJ338" t="s">
        <v>205</v>
      </c>
      <c r="BK338" t="s">
        <v>206</v>
      </c>
      <c r="BL338" t="s">
        <v>194</v>
      </c>
      <c r="BO338" t="s">
        <v>216</v>
      </c>
      <c r="BP338" t="s">
        <v>216</v>
      </c>
      <c r="BQ338" s="3">
        <v>45566</v>
      </c>
      <c r="BR338" t="s">
        <v>232</v>
      </c>
      <c r="BT338" t="s">
        <v>197</v>
      </c>
      <c r="BV338" t="s">
        <v>233</v>
      </c>
      <c r="CA338" t="s">
        <v>214</v>
      </c>
      <c r="CB338" t="s">
        <v>214</v>
      </c>
      <c r="CF338" t="s">
        <v>215</v>
      </c>
      <c r="CH338" t="s">
        <v>214</v>
      </c>
      <c r="CI338" t="s">
        <v>214</v>
      </c>
      <c r="CJ338" t="s">
        <v>214</v>
      </c>
      <c r="CP338" t="s">
        <v>214</v>
      </c>
      <c r="CS338" t="s">
        <v>216</v>
      </c>
      <c r="CV338" t="s">
        <v>214</v>
      </c>
      <c r="CW338" t="s">
        <v>214</v>
      </c>
      <c r="CX338" t="s">
        <v>217</v>
      </c>
      <c r="CY338" t="s">
        <v>214</v>
      </c>
      <c r="DA338" t="s">
        <v>218</v>
      </c>
    </row>
    <row r="339" spans="1:105" x14ac:dyDescent="0.3">
      <c r="A339">
        <v>13798591</v>
      </c>
      <c r="B339">
        <v>9127123</v>
      </c>
      <c r="C339" t="str">
        <f>"130815603197"</f>
        <v>130815603197</v>
      </c>
      <c r="D339" t="s">
        <v>1052</v>
      </c>
      <c r="E339" t="s">
        <v>220</v>
      </c>
      <c r="F339" t="s">
        <v>358</v>
      </c>
      <c r="G339" s="1">
        <v>41501</v>
      </c>
      <c r="I339" t="s">
        <v>222</v>
      </c>
      <c r="J339" t="s">
        <v>188</v>
      </c>
      <c r="K339" t="s">
        <v>223</v>
      </c>
      <c r="Y339" t="str">
        <f>"2019-08-21T00:00:00"</f>
        <v>2019-08-21T00:00:00</v>
      </c>
      <c r="Z339" t="str">
        <f>"31"</f>
        <v>31</v>
      </c>
      <c r="AA339" t="s">
        <v>190</v>
      </c>
      <c r="AC339" t="s">
        <v>225</v>
      </c>
      <c r="AD339" t="s">
        <v>615</v>
      </c>
      <c r="AE339" t="s">
        <v>243</v>
      </c>
      <c r="AF339" t="s">
        <v>194</v>
      </c>
      <c r="AH339" t="s">
        <v>195</v>
      </c>
      <c r="AI339">
        <v>1</v>
      </c>
      <c r="AJ339" t="s">
        <v>196</v>
      </c>
      <c r="AK339" t="s">
        <v>194</v>
      </c>
      <c r="AL339" t="s">
        <v>197</v>
      </c>
      <c r="AM339" t="s">
        <v>228</v>
      </c>
      <c r="AR339" t="s">
        <v>194</v>
      </c>
      <c r="AS339" t="s">
        <v>199</v>
      </c>
      <c r="AU339" t="s">
        <v>197</v>
      </c>
      <c r="AZ339" t="s">
        <v>194</v>
      </c>
      <c r="BA339" t="s">
        <v>200</v>
      </c>
      <c r="BB339" t="s">
        <v>201</v>
      </c>
      <c r="BD339" t="s">
        <v>200</v>
      </c>
      <c r="BE339" t="s">
        <v>244</v>
      </c>
      <c r="BF339" t="s">
        <v>197</v>
      </c>
      <c r="BG339" t="s">
        <v>238</v>
      </c>
      <c r="BH339">
        <v>5</v>
      </c>
      <c r="BJ339" t="s">
        <v>205</v>
      </c>
      <c r="BK339" t="s">
        <v>206</v>
      </c>
      <c r="BL339" t="s">
        <v>194</v>
      </c>
      <c r="BO339" t="s">
        <v>216</v>
      </c>
      <c r="BP339" t="s">
        <v>216</v>
      </c>
      <c r="BQ339" s="3">
        <v>45566</v>
      </c>
      <c r="BR339" t="s">
        <v>232</v>
      </c>
      <c r="BT339" t="s">
        <v>197</v>
      </c>
      <c r="BV339" t="s">
        <v>233</v>
      </c>
      <c r="CA339" t="s">
        <v>214</v>
      </c>
      <c r="CB339" t="s">
        <v>214</v>
      </c>
      <c r="CF339" t="s">
        <v>215</v>
      </c>
      <c r="CH339" t="s">
        <v>214</v>
      </c>
      <c r="CI339" t="s">
        <v>214</v>
      </c>
      <c r="CJ339" t="s">
        <v>214</v>
      </c>
      <c r="CP339" t="s">
        <v>214</v>
      </c>
      <c r="CS339" t="s">
        <v>216</v>
      </c>
      <c r="CV339" t="s">
        <v>214</v>
      </c>
      <c r="CW339" t="s">
        <v>214</v>
      </c>
      <c r="CX339" t="s">
        <v>217</v>
      </c>
      <c r="CY339" t="s">
        <v>214</v>
      </c>
      <c r="DA339" t="s">
        <v>218</v>
      </c>
    </row>
    <row r="340" spans="1:105" x14ac:dyDescent="0.3">
      <c r="A340">
        <v>13798707</v>
      </c>
      <c r="B340">
        <v>9127157</v>
      </c>
      <c r="C340" t="str">
        <f>"130813504864"</f>
        <v>130813504864</v>
      </c>
      <c r="D340" t="s">
        <v>1053</v>
      </c>
      <c r="E340" t="s">
        <v>552</v>
      </c>
      <c r="F340" t="s">
        <v>289</v>
      </c>
      <c r="G340" s="1">
        <v>41499</v>
      </c>
      <c r="I340" t="s">
        <v>187</v>
      </c>
      <c r="J340" t="s">
        <v>188</v>
      </c>
      <c r="K340" t="s">
        <v>223</v>
      </c>
      <c r="Y340" t="str">
        <f>"2019-08-21T00:00:00"</f>
        <v>2019-08-21T00:00:00</v>
      </c>
      <c r="Z340" t="str">
        <f>"31"</f>
        <v>31</v>
      </c>
      <c r="AA340" t="s">
        <v>190</v>
      </c>
      <c r="AC340" t="s">
        <v>225</v>
      </c>
      <c r="AD340" t="s">
        <v>615</v>
      </c>
      <c r="AE340" t="s">
        <v>413</v>
      </c>
      <c r="AF340" t="s">
        <v>194</v>
      </c>
      <c r="AH340" t="s">
        <v>195</v>
      </c>
      <c r="AI340">
        <v>1</v>
      </c>
      <c r="AJ340" t="s">
        <v>196</v>
      </c>
      <c r="AK340" t="s">
        <v>194</v>
      </c>
      <c r="AL340" t="s">
        <v>197</v>
      </c>
      <c r="AM340" t="s">
        <v>198</v>
      </c>
      <c r="AR340" t="s">
        <v>194</v>
      </c>
      <c r="AS340" t="s">
        <v>199</v>
      </c>
      <c r="AU340" t="s">
        <v>197</v>
      </c>
      <c r="AZ340" t="s">
        <v>194</v>
      </c>
      <c r="BA340" t="s">
        <v>200</v>
      </c>
      <c r="BB340" t="s">
        <v>201</v>
      </c>
      <c r="BD340" t="s">
        <v>200</v>
      </c>
      <c r="BE340" t="s">
        <v>244</v>
      </c>
      <c r="BF340" t="s">
        <v>197</v>
      </c>
      <c r="BG340" t="s">
        <v>238</v>
      </c>
      <c r="BH340">
        <v>5</v>
      </c>
      <c r="BJ340" t="s">
        <v>205</v>
      </c>
      <c r="BK340" t="s">
        <v>206</v>
      </c>
      <c r="BL340" t="s">
        <v>194</v>
      </c>
      <c r="BO340" t="s">
        <v>216</v>
      </c>
      <c r="BP340" t="s">
        <v>216</v>
      </c>
      <c r="BQ340" s="3">
        <v>45566</v>
      </c>
      <c r="BR340" t="s">
        <v>232</v>
      </c>
      <c r="BT340" t="s">
        <v>197</v>
      </c>
      <c r="BV340" t="s">
        <v>233</v>
      </c>
      <c r="CA340" t="s">
        <v>194</v>
      </c>
      <c r="CB340" t="s">
        <v>214</v>
      </c>
      <c r="CF340" t="s">
        <v>215</v>
      </c>
      <c r="CH340" t="s">
        <v>214</v>
      </c>
      <c r="CI340" t="s">
        <v>214</v>
      </c>
      <c r="CJ340" t="s">
        <v>214</v>
      </c>
      <c r="CP340" t="s">
        <v>214</v>
      </c>
      <c r="CS340" t="s">
        <v>216</v>
      </c>
      <c r="CV340" t="s">
        <v>214</v>
      </c>
      <c r="CW340" t="s">
        <v>214</v>
      </c>
      <c r="CX340" t="s">
        <v>217</v>
      </c>
      <c r="CY340" t="s">
        <v>214</v>
      </c>
      <c r="DA340" t="s">
        <v>218</v>
      </c>
    </row>
    <row r="341" spans="1:105" x14ac:dyDescent="0.3">
      <c r="A341">
        <v>13810893</v>
      </c>
      <c r="B341">
        <v>6398352</v>
      </c>
      <c r="C341" t="str">
        <f>"110705503617"</f>
        <v>110705503617</v>
      </c>
      <c r="D341" t="s">
        <v>1054</v>
      </c>
      <c r="E341" t="s">
        <v>1055</v>
      </c>
      <c r="F341" t="s">
        <v>1056</v>
      </c>
      <c r="G341" s="1">
        <v>40729</v>
      </c>
      <c r="I341" t="s">
        <v>187</v>
      </c>
      <c r="J341" t="s">
        <v>188</v>
      </c>
      <c r="K341" t="s">
        <v>189</v>
      </c>
      <c r="Y341" t="str">
        <f>"2019-06-21T00:00:00"</f>
        <v>2019-06-21T00:00:00</v>
      </c>
      <c r="Z341" t="str">
        <f>"27"</f>
        <v>27</v>
      </c>
      <c r="AA341" t="s">
        <v>190</v>
      </c>
      <c r="AC341" t="s">
        <v>225</v>
      </c>
      <c r="AD341" t="s">
        <v>285</v>
      </c>
      <c r="AE341" t="s">
        <v>243</v>
      </c>
      <c r="AF341" t="s">
        <v>194</v>
      </c>
      <c r="AH341" t="s">
        <v>195</v>
      </c>
      <c r="AI341">
        <v>2</v>
      </c>
      <c r="AJ341" t="s">
        <v>196</v>
      </c>
      <c r="AK341" t="s">
        <v>194</v>
      </c>
      <c r="AL341" t="s">
        <v>197</v>
      </c>
      <c r="AM341" t="s">
        <v>228</v>
      </c>
      <c r="AR341" t="s">
        <v>194</v>
      </c>
      <c r="AS341" t="s">
        <v>199</v>
      </c>
      <c r="AU341" t="s">
        <v>197</v>
      </c>
      <c r="AZ341" t="s">
        <v>194</v>
      </c>
      <c r="BA341" t="s">
        <v>200</v>
      </c>
      <c r="BB341" t="s">
        <v>201</v>
      </c>
      <c r="BD341" t="s">
        <v>200</v>
      </c>
      <c r="BE341" t="s">
        <v>229</v>
      </c>
      <c r="BF341" t="s">
        <v>197</v>
      </c>
      <c r="BG341" t="s">
        <v>269</v>
      </c>
      <c r="BH341" t="s">
        <v>270</v>
      </c>
      <c r="BJ341" t="s">
        <v>205</v>
      </c>
      <c r="BK341" t="s">
        <v>206</v>
      </c>
      <c r="BL341" t="s">
        <v>194</v>
      </c>
      <c r="BO341" t="s">
        <v>216</v>
      </c>
      <c r="BP341" t="s">
        <v>216</v>
      </c>
      <c r="BQ341" t="s">
        <v>280</v>
      </c>
      <c r="BR341" t="s">
        <v>232</v>
      </c>
      <c r="BT341" t="s">
        <v>197</v>
      </c>
      <c r="BV341" t="s">
        <v>233</v>
      </c>
      <c r="CA341" t="s">
        <v>194</v>
      </c>
      <c r="CB341" t="s">
        <v>214</v>
      </c>
      <c r="CF341" t="s">
        <v>215</v>
      </c>
      <c r="CH341" t="s">
        <v>214</v>
      </c>
      <c r="CI341" t="s">
        <v>214</v>
      </c>
      <c r="CJ341" t="s">
        <v>214</v>
      </c>
      <c r="CP341" t="s">
        <v>214</v>
      </c>
      <c r="CS341" t="s">
        <v>216</v>
      </c>
      <c r="CV341" t="s">
        <v>214</v>
      </c>
      <c r="CW341" t="s">
        <v>214</v>
      </c>
      <c r="CX341" t="s">
        <v>217</v>
      </c>
      <c r="CY341" t="s">
        <v>214</v>
      </c>
      <c r="DA341" t="s">
        <v>218</v>
      </c>
    </row>
    <row r="342" spans="1:105" x14ac:dyDescent="0.3">
      <c r="A342">
        <v>15663476</v>
      </c>
      <c r="B342">
        <v>6393323</v>
      </c>
      <c r="C342" t="str">
        <f>"131030602966"</f>
        <v>131030602966</v>
      </c>
      <c r="D342" t="s">
        <v>1057</v>
      </c>
      <c r="E342" t="s">
        <v>267</v>
      </c>
      <c r="F342" t="s">
        <v>358</v>
      </c>
      <c r="G342" s="1">
        <v>41577</v>
      </c>
      <c r="I342" t="s">
        <v>222</v>
      </c>
      <c r="J342" t="s">
        <v>188</v>
      </c>
      <c r="K342" t="s">
        <v>223</v>
      </c>
      <c r="Y342" t="str">
        <f>"2020-07-20T00:00:00"</f>
        <v>2020-07-20T00:00:00</v>
      </c>
      <c r="Z342" t="str">
        <f>"13"</f>
        <v>13</v>
      </c>
      <c r="AA342" t="s">
        <v>190</v>
      </c>
      <c r="AC342" t="s">
        <v>225</v>
      </c>
      <c r="AD342" t="s">
        <v>815</v>
      </c>
      <c r="AE342" t="s">
        <v>193</v>
      </c>
      <c r="AF342" t="s">
        <v>194</v>
      </c>
      <c r="AH342" t="s">
        <v>195</v>
      </c>
      <c r="AI342">
        <v>1</v>
      </c>
      <c r="AJ342" t="s">
        <v>196</v>
      </c>
      <c r="AK342" t="s">
        <v>194</v>
      </c>
      <c r="AL342" t="s">
        <v>197</v>
      </c>
      <c r="AM342" t="s">
        <v>198</v>
      </c>
      <c r="AR342" t="s">
        <v>194</v>
      </c>
      <c r="AS342" t="s">
        <v>199</v>
      </c>
      <c r="AU342" t="s">
        <v>197</v>
      </c>
      <c r="AZ342" t="s">
        <v>194</v>
      </c>
      <c r="BA342" t="s">
        <v>200</v>
      </c>
      <c r="BB342" t="s">
        <v>201</v>
      </c>
      <c r="BD342" t="s">
        <v>200</v>
      </c>
      <c r="BE342" t="s">
        <v>229</v>
      </c>
      <c r="BF342" t="s">
        <v>197</v>
      </c>
      <c r="BG342" t="s">
        <v>230</v>
      </c>
      <c r="BH342" t="s">
        <v>307</v>
      </c>
      <c r="BJ342" t="s">
        <v>205</v>
      </c>
      <c r="BK342" t="s">
        <v>206</v>
      </c>
      <c r="BL342" t="s">
        <v>194</v>
      </c>
      <c r="BO342" t="s">
        <v>200</v>
      </c>
      <c r="BP342" t="s">
        <v>200</v>
      </c>
      <c r="BQ342" t="s">
        <v>280</v>
      </c>
      <c r="BR342" t="s">
        <v>232</v>
      </c>
      <c r="BT342" t="s">
        <v>197</v>
      </c>
      <c r="BV342" t="s">
        <v>233</v>
      </c>
      <c r="CA342" t="s">
        <v>194</v>
      </c>
      <c r="CB342" t="s">
        <v>214</v>
      </c>
      <c r="CF342" t="s">
        <v>215</v>
      </c>
      <c r="CH342" t="s">
        <v>214</v>
      </c>
      <c r="CI342" t="s">
        <v>214</v>
      </c>
      <c r="CJ342" t="s">
        <v>214</v>
      </c>
      <c r="CP342" t="s">
        <v>214</v>
      </c>
      <c r="CS342" t="s">
        <v>216</v>
      </c>
      <c r="CV342" t="s">
        <v>214</v>
      </c>
      <c r="CW342" t="s">
        <v>214</v>
      </c>
      <c r="CX342" t="s">
        <v>217</v>
      </c>
      <c r="CY342" t="s">
        <v>214</v>
      </c>
      <c r="DA342" t="s">
        <v>218</v>
      </c>
    </row>
    <row r="343" spans="1:105" x14ac:dyDescent="0.3">
      <c r="A343">
        <v>13811104</v>
      </c>
      <c r="B343">
        <v>9131363</v>
      </c>
      <c r="C343" t="str">
        <f>"110726604557"</f>
        <v>110726604557</v>
      </c>
      <c r="D343" t="s">
        <v>1058</v>
      </c>
      <c r="E343" t="s">
        <v>1059</v>
      </c>
      <c r="F343" t="s">
        <v>1060</v>
      </c>
      <c r="G343" s="1">
        <v>40750</v>
      </c>
      <c r="I343" t="s">
        <v>222</v>
      </c>
      <c r="J343" t="s">
        <v>188</v>
      </c>
      <c r="K343" t="s">
        <v>650</v>
      </c>
      <c r="Y343" t="str">
        <f>"2019-09-02T00:00:00"</f>
        <v>2019-09-02T00:00:00</v>
      </c>
      <c r="Z343" t="str">
        <f>"34"</f>
        <v>34</v>
      </c>
      <c r="AA343" t="s">
        <v>190</v>
      </c>
      <c r="AC343" t="s">
        <v>191</v>
      </c>
      <c r="AD343" t="s">
        <v>285</v>
      </c>
      <c r="AE343" t="s">
        <v>243</v>
      </c>
      <c r="AF343" t="s">
        <v>194</v>
      </c>
      <c r="AH343" t="s">
        <v>195</v>
      </c>
      <c r="AI343">
        <v>2</v>
      </c>
      <c r="AJ343" t="s">
        <v>196</v>
      </c>
      <c r="AK343" t="s">
        <v>194</v>
      </c>
      <c r="AL343" t="s">
        <v>197</v>
      </c>
      <c r="AM343" t="s">
        <v>228</v>
      </c>
      <c r="AR343" t="s">
        <v>194</v>
      </c>
      <c r="AS343" t="s">
        <v>199</v>
      </c>
      <c r="AU343" t="s">
        <v>197</v>
      </c>
      <c r="AZ343" t="s">
        <v>194</v>
      </c>
      <c r="BA343" t="s">
        <v>200</v>
      </c>
      <c r="BB343" t="s">
        <v>201</v>
      </c>
      <c r="BD343" t="s">
        <v>200</v>
      </c>
      <c r="BE343" t="s">
        <v>229</v>
      </c>
      <c r="BF343" t="s">
        <v>197</v>
      </c>
      <c r="BG343" t="s">
        <v>269</v>
      </c>
      <c r="BH343" t="s">
        <v>270</v>
      </c>
      <c r="BJ343" t="s">
        <v>205</v>
      </c>
      <c r="BK343" t="s">
        <v>206</v>
      </c>
      <c r="BL343" t="s">
        <v>194</v>
      </c>
      <c r="BO343" t="s">
        <v>216</v>
      </c>
      <c r="BP343" t="s">
        <v>216</v>
      </c>
      <c r="BQ343" t="s">
        <v>280</v>
      </c>
      <c r="BR343" t="s">
        <v>232</v>
      </c>
      <c r="BT343" t="s">
        <v>197</v>
      </c>
      <c r="BV343" t="s">
        <v>233</v>
      </c>
      <c r="CA343" t="s">
        <v>194</v>
      </c>
      <c r="CB343" t="s">
        <v>214</v>
      </c>
      <c r="CF343" t="s">
        <v>215</v>
      </c>
      <c r="CH343" t="s">
        <v>214</v>
      </c>
      <c r="CI343" t="s">
        <v>214</v>
      </c>
      <c r="CJ343" t="s">
        <v>214</v>
      </c>
      <c r="CP343" t="s">
        <v>214</v>
      </c>
      <c r="CS343" t="s">
        <v>216</v>
      </c>
      <c r="CV343" t="s">
        <v>214</v>
      </c>
      <c r="CW343" t="s">
        <v>214</v>
      </c>
      <c r="CX343" t="s">
        <v>217</v>
      </c>
      <c r="CY343" t="s">
        <v>214</v>
      </c>
      <c r="DA343" t="s">
        <v>218</v>
      </c>
    </row>
    <row r="344" spans="1:105" x14ac:dyDescent="0.3">
      <c r="A344">
        <v>15665807</v>
      </c>
      <c r="B344">
        <v>6255364</v>
      </c>
      <c r="C344" t="str">
        <f>"111208501730"</f>
        <v>111208501730</v>
      </c>
      <c r="D344" t="s">
        <v>1061</v>
      </c>
      <c r="E344" t="s">
        <v>573</v>
      </c>
      <c r="F344" t="s">
        <v>289</v>
      </c>
      <c r="G344" s="1">
        <v>40885</v>
      </c>
      <c r="I344" t="s">
        <v>187</v>
      </c>
      <c r="J344" t="s">
        <v>188</v>
      </c>
      <c r="K344" t="s">
        <v>223</v>
      </c>
      <c r="Y344" t="str">
        <f>"2020-08-11T00:00:00"</f>
        <v>2020-08-11T00:00:00</v>
      </c>
      <c r="Z344" t="str">
        <f>"17"</f>
        <v>17</v>
      </c>
      <c r="AA344" t="s">
        <v>190</v>
      </c>
      <c r="AC344" t="s">
        <v>225</v>
      </c>
      <c r="AD344" t="s">
        <v>285</v>
      </c>
      <c r="AE344" t="s">
        <v>227</v>
      </c>
      <c r="AF344" t="s">
        <v>194</v>
      </c>
      <c r="AH344" t="s">
        <v>195</v>
      </c>
      <c r="AI344">
        <v>3</v>
      </c>
      <c r="AJ344" t="s">
        <v>196</v>
      </c>
      <c r="AK344" t="s">
        <v>194</v>
      </c>
      <c r="AL344" t="s">
        <v>197</v>
      </c>
      <c r="AM344" t="s">
        <v>198</v>
      </c>
      <c r="AR344" t="s">
        <v>194</v>
      </c>
      <c r="AS344" t="s">
        <v>199</v>
      </c>
      <c r="AU344" t="s">
        <v>197</v>
      </c>
      <c r="AZ344" t="s">
        <v>194</v>
      </c>
      <c r="BB344" t="s">
        <v>201</v>
      </c>
      <c r="BD344" t="s">
        <v>200</v>
      </c>
      <c r="BE344" t="s">
        <v>202</v>
      </c>
      <c r="BF344" t="s">
        <v>197</v>
      </c>
      <c r="BG344" t="s">
        <v>230</v>
      </c>
      <c r="BH344" t="s">
        <v>400</v>
      </c>
      <c r="BJ344" t="s">
        <v>205</v>
      </c>
      <c r="BK344" t="s">
        <v>206</v>
      </c>
      <c r="BL344" t="s">
        <v>194</v>
      </c>
      <c r="BO344" t="s">
        <v>216</v>
      </c>
      <c r="BP344" t="s">
        <v>216</v>
      </c>
      <c r="BQ344" t="s">
        <v>271</v>
      </c>
      <c r="BR344" t="s">
        <v>232</v>
      </c>
      <c r="BT344" t="s">
        <v>197</v>
      </c>
      <c r="BV344" t="s">
        <v>233</v>
      </c>
      <c r="CA344" t="s">
        <v>194</v>
      </c>
      <c r="CB344" t="s">
        <v>214</v>
      </c>
      <c r="CF344" t="s">
        <v>215</v>
      </c>
      <c r="CH344" t="s">
        <v>214</v>
      </c>
      <c r="CI344" t="s">
        <v>214</v>
      </c>
      <c r="CJ344" t="s">
        <v>214</v>
      </c>
      <c r="CP344" t="s">
        <v>214</v>
      </c>
      <c r="CS344" t="s">
        <v>216</v>
      </c>
      <c r="CV344" t="s">
        <v>214</v>
      </c>
      <c r="CW344" t="s">
        <v>214</v>
      </c>
      <c r="CX344" t="s">
        <v>217</v>
      </c>
      <c r="CY344" t="s">
        <v>214</v>
      </c>
      <c r="DA344" t="s">
        <v>218</v>
      </c>
    </row>
    <row r="345" spans="1:105" x14ac:dyDescent="0.3">
      <c r="A345">
        <v>15666123</v>
      </c>
      <c r="B345">
        <v>6145890</v>
      </c>
      <c r="C345" t="str">
        <f>"141119604307"</f>
        <v>141119604307</v>
      </c>
      <c r="D345" t="s">
        <v>1062</v>
      </c>
      <c r="E345" t="s">
        <v>357</v>
      </c>
      <c r="F345" t="s">
        <v>497</v>
      </c>
      <c r="G345" s="1">
        <v>41962</v>
      </c>
      <c r="I345" t="s">
        <v>222</v>
      </c>
      <c r="J345" t="s">
        <v>188</v>
      </c>
      <c r="K345" t="s">
        <v>382</v>
      </c>
      <c r="Y345" t="str">
        <f>"2020-08-21T00:00:00"</f>
        <v>2020-08-21T00:00:00</v>
      </c>
      <c r="Z345" t="str">
        <f>"18"</f>
        <v>18</v>
      </c>
      <c r="AA345" t="s">
        <v>190</v>
      </c>
      <c r="AC345" t="s">
        <v>225</v>
      </c>
      <c r="AD345" t="s">
        <v>815</v>
      </c>
      <c r="AE345" t="s">
        <v>243</v>
      </c>
      <c r="AF345" t="s">
        <v>194</v>
      </c>
      <c r="AH345" t="s">
        <v>195</v>
      </c>
      <c r="AI345">
        <v>1</v>
      </c>
      <c r="AJ345" t="s">
        <v>196</v>
      </c>
      <c r="AK345" t="s">
        <v>194</v>
      </c>
      <c r="AL345" t="s">
        <v>197</v>
      </c>
      <c r="AM345" t="s">
        <v>198</v>
      </c>
      <c r="AR345" t="s">
        <v>194</v>
      </c>
      <c r="AS345" t="s">
        <v>199</v>
      </c>
      <c r="AU345" t="s">
        <v>197</v>
      </c>
      <c r="AZ345" t="s">
        <v>194</v>
      </c>
      <c r="BA345" t="s">
        <v>200</v>
      </c>
      <c r="BB345" t="s">
        <v>201</v>
      </c>
      <c r="BD345" t="s">
        <v>200</v>
      </c>
      <c r="BE345" t="s">
        <v>229</v>
      </c>
      <c r="BF345" t="s">
        <v>197</v>
      </c>
      <c r="BG345" t="s">
        <v>230</v>
      </c>
      <c r="BH345" t="s">
        <v>231</v>
      </c>
      <c r="BJ345" t="s">
        <v>205</v>
      </c>
      <c r="BK345" t="s">
        <v>206</v>
      </c>
      <c r="BL345" t="s">
        <v>194</v>
      </c>
      <c r="BO345" t="s">
        <v>216</v>
      </c>
      <c r="BP345" t="s">
        <v>216</v>
      </c>
      <c r="BQ345" t="s">
        <v>280</v>
      </c>
      <c r="BR345" t="s">
        <v>232</v>
      </c>
      <c r="BT345" t="s">
        <v>197</v>
      </c>
      <c r="BV345" t="s">
        <v>233</v>
      </c>
      <c r="CA345" t="s">
        <v>194</v>
      </c>
      <c r="CB345" t="s">
        <v>214</v>
      </c>
      <c r="CF345" t="s">
        <v>215</v>
      </c>
      <c r="CH345" t="s">
        <v>214</v>
      </c>
      <c r="CI345" t="s">
        <v>214</v>
      </c>
      <c r="CJ345" t="s">
        <v>214</v>
      </c>
      <c r="CP345" t="s">
        <v>214</v>
      </c>
      <c r="CS345" t="s">
        <v>216</v>
      </c>
      <c r="CV345" t="s">
        <v>214</v>
      </c>
      <c r="CW345" t="s">
        <v>214</v>
      </c>
      <c r="CX345" t="s">
        <v>217</v>
      </c>
      <c r="CY345" t="s">
        <v>214</v>
      </c>
      <c r="DA345" t="s">
        <v>218</v>
      </c>
    </row>
    <row r="346" spans="1:105" x14ac:dyDescent="0.3">
      <c r="A346">
        <v>13839628</v>
      </c>
      <c r="B346">
        <v>5983821</v>
      </c>
      <c r="C346" t="str">
        <f>"091120554767"</f>
        <v>091120554767</v>
      </c>
      <c r="D346" t="s">
        <v>1063</v>
      </c>
      <c r="E346" t="s">
        <v>1064</v>
      </c>
      <c r="F346" t="s">
        <v>1065</v>
      </c>
      <c r="G346" s="1">
        <v>40137</v>
      </c>
      <c r="I346" t="s">
        <v>187</v>
      </c>
      <c r="J346" t="s">
        <v>188</v>
      </c>
      <c r="K346" t="s">
        <v>189</v>
      </c>
      <c r="Y346" t="str">
        <f>"2019-09-02T00:00:00"</f>
        <v>2019-09-02T00:00:00</v>
      </c>
      <c r="Z346" t="str">
        <f>"34"</f>
        <v>34</v>
      </c>
      <c r="AA346" t="s">
        <v>835</v>
      </c>
      <c r="AC346" t="s">
        <v>255</v>
      </c>
      <c r="AD346" t="s">
        <v>242</v>
      </c>
      <c r="AE346" t="s">
        <v>413</v>
      </c>
      <c r="AF346" t="s">
        <v>194</v>
      </c>
      <c r="AH346" t="s">
        <v>195</v>
      </c>
      <c r="AI346">
        <v>1</v>
      </c>
      <c r="AJ346" t="s">
        <v>196</v>
      </c>
      <c r="AK346" t="s">
        <v>194</v>
      </c>
      <c r="AL346" t="s">
        <v>197</v>
      </c>
      <c r="AM346" t="s">
        <v>228</v>
      </c>
      <c r="AR346" t="s">
        <v>194</v>
      </c>
      <c r="AS346" t="s">
        <v>199</v>
      </c>
      <c r="AU346" t="s">
        <v>197</v>
      </c>
      <c r="AZ346" t="s">
        <v>194</v>
      </c>
      <c r="BA346" t="s">
        <v>200</v>
      </c>
      <c r="BB346" t="s">
        <v>201</v>
      </c>
      <c r="BD346" t="s">
        <v>200</v>
      </c>
      <c r="BE346" t="s">
        <v>229</v>
      </c>
      <c r="BF346" t="s">
        <v>197</v>
      </c>
      <c r="BG346" t="s">
        <v>230</v>
      </c>
      <c r="BH346" t="s">
        <v>307</v>
      </c>
      <c r="BJ346" t="s">
        <v>205</v>
      </c>
      <c r="BK346" t="s">
        <v>206</v>
      </c>
      <c r="BL346" t="s">
        <v>194</v>
      </c>
      <c r="BO346" t="s">
        <v>216</v>
      </c>
      <c r="BP346" t="s">
        <v>216</v>
      </c>
      <c r="BR346" t="s">
        <v>232</v>
      </c>
      <c r="BT346" t="s">
        <v>197</v>
      </c>
      <c r="BV346" t="s">
        <v>233</v>
      </c>
      <c r="CA346" t="s">
        <v>194</v>
      </c>
      <c r="CB346" t="s">
        <v>214</v>
      </c>
      <c r="CF346" t="s">
        <v>215</v>
      </c>
      <c r="CH346" t="s">
        <v>214</v>
      </c>
      <c r="CI346" t="s">
        <v>214</v>
      </c>
      <c r="CJ346" t="s">
        <v>214</v>
      </c>
      <c r="CP346" t="s">
        <v>214</v>
      </c>
      <c r="CS346" t="s">
        <v>216</v>
      </c>
      <c r="CV346" t="s">
        <v>214</v>
      </c>
      <c r="CW346" t="s">
        <v>214</v>
      </c>
      <c r="CX346" t="s">
        <v>217</v>
      </c>
      <c r="CY346" t="s">
        <v>214</v>
      </c>
      <c r="DA346" t="s">
        <v>218</v>
      </c>
    </row>
    <row r="347" spans="1:105" x14ac:dyDescent="0.3">
      <c r="A347">
        <v>13843471</v>
      </c>
      <c r="B347">
        <v>5975449</v>
      </c>
      <c r="C347" t="str">
        <f>"091219553023"</f>
        <v>091219553023</v>
      </c>
      <c r="D347" t="s">
        <v>1066</v>
      </c>
      <c r="E347" t="s">
        <v>1067</v>
      </c>
      <c r="F347" t="s">
        <v>1068</v>
      </c>
      <c r="G347" s="1">
        <v>40166</v>
      </c>
      <c r="I347" t="s">
        <v>187</v>
      </c>
      <c r="J347" t="s">
        <v>188</v>
      </c>
      <c r="K347" t="s">
        <v>498</v>
      </c>
      <c r="Y347" t="str">
        <f>"2019-09-19T00:00:00"</f>
        <v>2019-09-19T00:00:00</v>
      </c>
      <c r="Z347" t="str">
        <f>"44"</f>
        <v>44</v>
      </c>
      <c r="AA347" t="s">
        <v>835</v>
      </c>
      <c r="AC347" t="s">
        <v>255</v>
      </c>
      <c r="AD347" t="s">
        <v>242</v>
      </c>
      <c r="AE347" t="s">
        <v>413</v>
      </c>
      <c r="AF347" t="s">
        <v>194</v>
      </c>
      <c r="AH347" t="s">
        <v>195</v>
      </c>
      <c r="AI347">
        <v>1</v>
      </c>
      <c r="AJ347" t="s">
        <v>196</v>
      </c>
      <c r="AK347" t="s">
        <v>194</v>
      </c>
      <c r="AL347" t="s">
        <v>197</v>
      </c>
      <c r="AM347" t="s">
        <v>228</v>
      </c>
      <c r="AR347" t="s">
        <v>194</v>
      </c>
      <c r="AS347" t="s">
        <v>199</v>
      </c>
      <c r="AU347" t="s">
        <v>197</v>
      </c>
      <c r="AZ347" t="s">
        <v>194</v>
      </c>
      <c r="BA347" t="s">
        <v>200</v>
      </c>
      <c r="BB347" t="s">
        <v>201</v>
      </c>
      <c r="BC347" t="s">
        <v>317</v>
      </c>
      <c r="BD347" t="s">
        <v>200</v>
      </c>
      <c r="BE347" t="s">
        <v>202</v>
      </c>
      <c r="BF347" t="s">
        <v>197</v>
      </c>
      <c r="BG347" t="s">
        <v>262</v>
      </c>
      <c r="BH347" t="s">
        <v>400</v>
      </c>
      <c r="BJ347" t="s">
        <v>205</v>
      </c>
      <c r="BK347" t="s">
        <v>206</v>
      </c>
      <c r="BL347" t="s">
        <v>194</v>
      </c>
      <c r="BO347" t="s">
        <v>216</v>
      </c>
      <c r="BP347" t="s">
        <v>216</v>
      </c>
      <c r="BR347" t="s">
        <v>232</v>
      </c>
      <c r="BT347" t="s">
        <v>197</v>
      </c>
      <c r="BV347" t="s">
        <v>233</v>
      </c>
      <c r="CA347" t="s">
        <v>194</v>
      </c>
      <c r="CB347" t="s">
        <v>214</v>
      </c>
      <c r="CF347" t="s">
        <v>215</v>
      </c>
      <c r="CH347" t="s">
        <v>214</v>
      </c>
      <c r="CI347" t="s">
        <v>214</v>
      </c>
      <c r="CJ347" t="s">
        <v>214</v>
      </c>
      <c r="CP347" t="s">
        <v>214</v>
      </c>
      <c r="CS347" t="s">
        <v>216</v>
      </c>
      <c r="CV347" t="s">
        <v>214</v>
      </c>
      <c r="CW347" t="s">
        <v>214</v>
      </c>
      <c r="CX347" t="s">
        <v>217</v>
      </c>
      <c r="CY347" t="s">
        <v>214</v>
      </c>
      <c r="DA347" t="s">
        <v>218</v>
      </c>
    </row>
    <row r="348" spans="1:105" x14ac:dyDescent="0.3">
      <c r="A348">
        <v>13879247</v>
      </c>
      <c r="B348">
        <v>6081085</v>
      </c>
      <c r="C348" t="str">
        <f>"100129654853"</f>
        <v>100129654853</v>
      </c>
      <c r="D348" t="s">
        <v>1069</v>
      </c>
      <c r="E348" t="s">
        <v>1070</v>
      </c>
      <c r="F348" t="s">
        <v>1071</v>
      </c>
      <c r="G348" s="1">
        <v>40207</v>
      </c>
      <c r="I348" t="s">
        <v>222</v>
      </c>
      <c r="J348" t="s">
        <v>188</v>
      </c>
      <c r="K348" t="s">
        <v>189</v>
      </c>
      <c r="Y348" t="str">
        <f>"2018-09-07T00:00:00"</f>
        <v>2018-09-07T00:00:00</v>
      </c>
      <c r="Z348" t="str">
        <f>"29"</f>
        <v>29</v>
      </c>
      <c r="AA348" t="s">
        <v>835</v>
      </c>
      <c r="AC348" t="s">
        <v>191</v>
      </c>
      <c r="AD348" t="s">
        <v>242</v>
      </c>
      <c r="AE348" t="s">
        <v>413</v>
      </c>
      <c r="AF348" t="s">
        <v>194</v>
      </c>
      <c r="AH348" t="s">
        <v>195</v>
      </c>
      <c r="AI348">
        <v>2</v>
      </c>
      <c r="AJ348" t="s">
        <v>196</v>
      </c>
      <c r="AK348" t="s">
        <v>194</v>
      </c>
      <c r="AL348" t="s">
        <v>197</v>
      </c>
      <c r="AM348" t="s">
        <v>811</v>
      </c>
      <c r="AQ348" t="str">
        <f>"2020-11-04T09:01:48"</f>
        <v>2020-11-04T09:01:48</v>
      </c>
      <c r="AR348" t="s">
        <v>214</v>
      </c>
      <c r="AU348" t="s">
        <v>197</v>
      </c>
      <c r="AZ348" t="s">
        <v>194</v>
      </c>
      <c r="BA348" t="s">
        <v>200</v>
      </c>
      <c r="BB348" t="s">
        <v>201</v>
      </c>
      <c r="BD348" t="s">
        <v>200</v>
      </c>
      <c r="BE348" t="s">
        <v>229</v>
      </c>
      <c r="BF348" t="s">
        <v>197</v>
      </c>
      <c r="BG348" t="s">
        <v>230</v>
      </c>
      <c r="BH348" t="s">
        <v>307</v>
      </c>
      <c r="BJ348" t="s">
        <v>205</v>
      </c>
      <c r="BK348" t="s">
        <v>206</v>
      </c>
      <c r="BL348" t="s">
        <v>194</v>
      </c>
      <c r="BO348" t="s">
        <v>200</v>
      </c>
      <c r="BP348" t="s">
        <v>200</v>
      </c>
      <c r="BR348" t="s">
        <v>232</v>
      </c>
      <c r="BT348" t="s">
        <v>197</v>
      </c>
      <c r="BV348" t="s">
        <v>233</v>
      </c>
      <c r="CA348" t="s">
        <v>194</v>
      </c>
      <c r="CB348" t="s">
        <v>214</v>
      </c>
      <c r="CF348" t="s">
        <v>215</v>
      </c>
      <c r="CH348" t="s">
        <v>214</v>
      </c>
      <c r="CI348" t="s">
        <v>214</v>
      </c>
      <c r="CJ348" t="s">
        <v>214</v>
      </c>
      <c r="CP348" t="s">
        <v>214</v>
      </c>
      <c r="CS348" t="s">
        <v>216</v>
      </c>
      <c r="CV348" t="s">
        <v>214</v>
      </c>
      <c r="CW348" t="s">
        <v>214</v>
      </c>
      <c r="CX348" t="s">
        <v>217</v>
      </c>
      <c r="CY348" t="s">
        <v>214</v>
      </c>
      <c r="DA348" t="s">
        <v>218</v>
      </c>
    </row>
    <row r="349" spans="1:105" x14ac:dyDescent="0.3">
      <c r="A349">
        <v>13891907</v>
      </c>
      <c r="B349">
        <v>9156755</v>
      </c>
      <c r="C349" t="str">
        <f>"140417504000"</f>
        <v>140417504000</v>
      </c>
      <c r="D349" t="s">
        <v>980</v>
      </c>
      <c r="E349" t="s">
        <v>1072</v>
      </c>
      <c r="F349" t="s">
        <v>1073</v>
      </c>
      <c r="G349" s="1">
        <v>41746</v>
      </c>
      <c r="I349" t="s">
        <v>187</v>
      </c>
      <c r="J349" t="s">
        <v>188</v>
      </c>
      <c r="K349" t="s">
        <v>189</v>
      </c>
      <c r="Y349" t="str">
        <f>"2019-10-09T00:00:00"</f>
        <v>2019-10-09T00:00:00</v>
      </c>
      <c r="Z349" t="str">
        <f>"49"</f>
        <v>49</v>
      </c>
      <c r="AA349" t="s">
        <v>224</v>
      </c>
      <c r="AC349" t="s">
        <v>225</v>
      </c>
      <c r="AD349" t="s">
        <v>815</v>
      </c>
      <c r="AE349" t="s">
        <v>243</v>
      </c>
      <c r="AF349" t="s">
        <v>194</v>
      </c>
      <c r="AH349" t="s">
        <v>195</v>
      </c>
      <c r="AI349">
        <v>3</v>
      </c>
      <c r="AJ349" t="s">
        <v>196</v>
      </c>
      <c r="AK349" t="s">
        <v>194</v>
      </c>
      <c r="AL349" t="s">
        <v>197</v>
      </c>
      <c r="AM349" t="s">
        <v>228</v>
      </c>
      <c r="AR349" t="s">
        <v>194</v>
      </c>
      <c r="AS349" t="s">
        <v>199</v>
      </c>
      <c r="AU349" t="s">
        <v>197</v>
      </c>
      <c r="AZ349" t="s">
        <v>194</v>
      </c>
      <c r="BA349" t="s">
        <v>200</v>
      </c>
      <c r="BB349" t="s">
        <v>201</v>
      </c>
      <c r="BD349" t="s">
        <v>200</v>
      </c>
      <c r="BE349" t="s">
        <v>202</v>
      </c>
      <c r="BF349" t="s">
        <v>197</v>
      </c>
      <c r="BG349" t="s">
        <v>230</v>
      </c>
      <c r="BH349" t="s">
        <v>420</v>
      </c>
      <c r="BJ349" t="s">
        <v>205</v>
      </c>
      <c r="BK349" t="s">
        <v>206</v>
      </c>
      <c r="BL349" t="s">
        <v>194</v>
      </c>
      <c r="BO349" t="s">
        <v>200</v>
      </c>
      <c r="BP349" t="s">
        <v>200</v>
      </c>
      <c r="BQ349" t="s">
        <v>280</v>
      </c>
      <c r="BR349" t="s">
        <v>232</v>
      </c>
      <c r="BT349" t="s">
        <v>197</v>
      </c>
      <c r="BV349" t="s">
        <v>233</v>
      </c>
      <c r="CA349" t="s">
        <v>194</v>
      </c>
      <c r="CB349" t="s">
        <v>214</v>
      </c>
      <c r="CF349" t="s">
        <v>215</v>
      </c>
      <c r="CH349" t="s">
        <v>214</v>
      </c>
      <c r="CI349" t="s">
        <v>214</v>
      </c>
      <c r="CJ349" t="s">
        <v>214</v>
      </c>
      <c r="CP349" t="s">
        <v>214</v>
      </c>
      <c r="CS349" t="s">
        <v>216</v>
      </c>
      <c r="CV349" t="s">
        <v>214</v>
      </c>
      <c r="CW349" t="s">
        <v>214</v>
      </c>
      <c r="CX349" t="s">
        <v>217</v>
      </c>
      <c r="CY349" t="s">
        <v>214</v>
      </c>
      <c r="DA349" t="s">
        <v>218</v>
      </c>
    </row>
    <row r="350" spans="1:105" x14ac:dyDescent="0.3">
      <c r="A350">
        <v>13949436</v>
      </c>
      <c r="B350">
        <v>5907046</v>
      </c>
      <c r="C350" t="str">
        <f>"100903551720"</f>
        <v>100903551720</v>
      </c>
      <c r="D350" t="s">
        <v>1033</v>
      </c>
      <c r="E350" t="s">
        <v>847</v>
      </c>
      <c r="F350" t="s">
        <v>1035</v>
      </c>
      <c r="G350" s="1">
        <v>40424</v>
      </c>
      <c r="I350" t="s">
        <v>187</v>
      </c>
      <c r="J350" t="s">
        <v>188</v>
      </c>
      <c r="K350" t="s">
        <v>498</v>
      </c>
      <c r="Y350" t="str">
        <f>"2019-08-29T00:00:00"</f>
        <v>2019-08-29T00:00:00</v>
      </c>
      <c r="Z350" t="str">
        <f>"32"</f>
        <v>32</v>
      </c>
      <c r="AA350" t="s">
        <v>835</v>
      </c>
      <c r="AC350" t="s">
        <v>191</v>
      </c>
      <c r="AD350" t="s">
        <v>261</v>
      </c>
      <c r="AE350" t="s">
        <v>243</v>
      </c>
      <c r="AF350" t="s">
        <v>194</v>
      </c>
      <c r="AH350" t="s">
        <v>195</v>
      </c>
      <c r="AI350">
        <v>2</v>
      </c>
      <c r="AJ350" t="s">
        <v>196</v>
      </c>
      <c r="AK350" t="s">
        <v>194</v>
      </c>
      <c r="AL350" t="s">
        <v>197</v>
      </c>
      <c r="AM350" t="s">
        <v>228</v>
      </c>
      <c r="AR350" t="s">
        <v>194</v>
      </c>
      <c r="AS350" t="s">
        <v>199</v>
      </c>
      <c r="AU350" t="s">
        <v>197</v>
      </c>
      <c r="AZ350" t="s">
        <v>194</v>
      </c>
      <c r="BA350" t="s">
        <v>200</v>
      </c>
      <c r="BB350" t="s">
        <v>201</v>
      </c>
      <c r="BD350" t="s">
        <v>200</v>
      </c>
      <c r="BE350" t="s">
        <v>202</v>
      </c>
      <c r="BF350" t="s">
        <v>197</v>
      </c>
      <c r="BG350" t="s">
        <v>230</v>
      </c>
      <c r="BH350" t="s">
        <v>400</v>
      </c>
      <c r="BJ350" t="s">
        <v>205</v>
      </c>
      <c r="BK350" t="s">
        <v>206</v>
      </c>
      <c r="BL350" t="s">
        <v>194</v>
      </c>
      <c r="BO350" t="s">
        <v>216</v>
      </c>
      <c r="BP350" t="s">
        <v>216</v>
      </c>
      <c r="BQ350" t="s">
        <v>286</v>
      </c>
      <c r="BR350" t="s">
        <v>232</v>
      </c>
      <c r="BT350" t="s">
        <v>197</v>
      </c>
      <c r="BV350" t="s">
        <v>233</v>
      </c>
      <c r="CA350" t="s">
        <v>194</v>
      </c>
      <c r="CB350" t="s">
        <v>214</v>
      </c>
      <c r="CF350" t="s">
        <v>215</v>
      </c>
      <c r="CH350" t="s">
        <v>214</v>
      </c>
      <c r="CI350" t="s">
        <v>214</v>
      </c>
      <c r="CJ350" t="s">
        <v>214</v>
      </c>
      <c r="CP350" t="s">
        <v>214</v>
      </c>
      <c r="CS350" t="s">
        <v>216</v>
      </c>
      <c r="CV350" t="s">
        <v>214</v>
      </c>
      <c r="CW350" t="s">
        <v>214</v>
      </c>
      <c r="CX350" t="s">
        <v>217</v>
      </c>
      <c r="CY350" t="s">
        <v>214</v>
      </c>
      <c r="DA350" t="s">
        <v>218</v>
      </c>
    </row>
    <row r="351" spans="1:105" x14ac:dyDescent="0.3">
      <c r="A351">
        <v>14109799</v>
      </c>
      <c r="B351">
        <v>8783668</v>
      </c>
      <c r="C351" t="str">
        <f>"120209505410"</f>
        <v>120209505410</v>
      </c>
      <c r="D351" t="s">
        <v>1074</v>
      </c>
      <c r="E351" t="s">
        <v>412</v>
      </c>
      <c r="F351" t="s">
        <v>1075</v>
      </c>
      <c r="G351" s="1">
        <v>40948</v>
      </c>
      <c r="I351" t="s">
        <v>187</v>
      </c>
      <c r="J351" t="s">
        <v>188</v>
      </c>
      <c r="K351" t="s">
        <v>373</v>
      </c>
      <c r="Y351" t="str">
        <f>"2019-11-08T00:00:00"</f>
        <v>2019-11-08T00:00:00</v>
      </c>
      <c r="Z351" t="str">
        <f>"56"</f>
        <v>56</v>
      </c>
      <c r="AA351" t="s">
        <v>835</v>
      </c>
      <c r="AC351" t="s">
        <v>225</v>
      </c>
      <c r="AD351" t="s">
        <v>615</v>
      </c>
      <c r="AE351" t="s">
        <v>227</v>
      </c>
      <c r="AF351" t="s">
        <v>194</v>
      </c>
      <c r="AH351" t="s">
        <v>195</v>
      </c>
      <c r="AI351">
        <v>1</v>
      </c>
      <c r="AJ351" t="s">
        <v>196</v>
      </c>
      <c r="AK351" t="s">
        <v>194</v>
      </c>
      <c r="AL351" t="s">
        <v>197</v>
      </c>
      <c r="AM351" t="s">
        <v>228</v>
      </c>
      <c r="AR351" t="s">
        <v>194</v>
      </c>
      <c r="AS351" t="s">
        <v>199</v>
      </c>
      <c r="AU351" t="s">
        <v>197</v>
      </c>
      <c r="AZ351" t="s">
        <v>194</v>
      </c>
      <c r="BA351" t="s">
        <v>200</v>
      </c>
      <c r="BB351" t="s">
        <v>201</v>
      </c>
      <c r="BD351" t="s">
        <v>200</v>
      </c>
      <c r="BE351" t="s">
        <v>229</v>
      </c>
      <c r="BF351" t="s">
        <v>197</v>
      </c>
      <c r="BG351" t="s">
        <v>238</v>
      </c>
      <c r="BH351">
        <v>4</v>
      </c>
      <c r="BJ351" t="s">
        <v>205</v>
      </c>
      <c r="BK351" t="s">
        <v>206</v>
      </c>
      <c r="BL351" t="s">
        <v>194</v>
      </c>
      <c r="BO351" t="s">
        <v>216</v>
      </c>
      <c r="BP351" t="s">
        <v>216</v>
      </c>
      <c r="BQ351" s="3">
        <v>45566</v>
      </c>
      <c r="BR351" t="s">
        <v>232</v>
      </c>
      <c r="BT351" t="s">
        <v>197</v>
      </c>
      <c r="BV351" t="s">
        <v>233</v>
      </c>
      <c r="CA351" t="s">
        <v>194</v>
      </c>
      <c r="CB351" t="s">
        <v>214</v>
      </c>
      <c r="CF351" t="s">
        <v>215</v>
      </c>
      <c r="CH351" t="s">
        <v>214</v>
      </c>
      <c r="CI351" t="s">
        <v>214</v>
      </c>
      <c r="CJ351" t="s">
        <v>214</v>
      </c>
      <c r="CP351" t="s">
        <v>214</v>
      </c>
      <c r="CS351" t="s">
        <v>216</v>
      </c>
      <c r="CV351" t="s">
        <v>214</v>
      </c>
      <c r="CW351" t="s">
        <v>214</v>
      </c>
      <c r="CX351" t="s">
        <v>217</v>
      </c>
      <c r="CY351" t="s">
        <v>214</v>
      </c>
      <c r="DA351" t="s">
        <v>218</v>
      </c>
    </row>
    <row r="352" spans="1:105" x14ac:dyDescent="0.3">
      <c r="A352">
        <v>14153190</v>
      </c>
      <c r="B352">
        <v>78463</v>
      </c>
      <c r="C352" t="str">
        <f>"110611502023"</f>
        <v>110611502023</v>
      </c>
      <c r="D352" t="s">
        <v>1076</v>
      </c>
      <c r="E352" t="s">
        <v>1077</v>
      </c>
      <c r="F352" t="s">
        <v>1078</v>
      </c>
      <c r="G352" s="1">
        <v>40705</v>
      </c>
      <c r="I352" t="s">
        <v>187</v>
      </c>
      <c r="J352" t="s">
        <v>188</v>
      </c>
      <c r="K352" t="s">
        <v>345</v>
      </c>
      <c r="Y352" t="str">
        <f>"2019-11-18T00:00:00"</f>
        <v>2019-11-18T00:00:00</v>
      </c>
      <c r="Z352" t="str">
        <f>"59"</f>
        <v>59</v>
      </c>
      <c r="AA352" t="s">
        <v>835</v>
      </c>
      <c r="AC352" t="s">
        <v>225</v>
      </c>
      <c r="AD352" t="s">
        <v>285</v>
      </c>
      <c r="AE352" t="s">
        <v>193</v>
      </c>
      <c r="AF352" t="s">
        <v>194</v>
      </c>
      <c r="AH352" t="s">
        <v>195</v>
      </c>
      <c r="AI352">
        <v>2</v>
      </c>
      <c r="AJ352" t="s">
        <v>196</v>
      </c>
      <c r="AK352" t="s">
        <v>194</v>
      </c>
      <c r="AL352" t="s">
        <v>197</v>
      </c>
      <c r="AM352" t="s">
        <v>198</v>
      </c>
      <c r="AR352" t="s">
        <v>194</v>
      </c>
      <c r="AS352" t="s">
        <v>199</v>
      </c>
      <c r="AU352" t="s">
        <v>197</v>
      </c>
      <c r="AZ352" t="s">
        <v>194</v>
      </c>
      <c r="BB352" t="s">
        <v>201</v>
      </c>
      <c r="BD352" t="s">
        <v>200</v>
      </c>
      <c r="BE352" t="s">
        <v>229</v>
      </c>
      <c r="BF352" t="s">
        <v>197</v>
      </c>
      <c r="BG352" t="s">
        <v>269</v>
      </c>
      <c r="BH352" t="s">
        <v>270</v>
      </c>
      <c r="BJ352" t="s">
        <v>205</v>
      </c>
      <c r="BK352" t="s">
        <v>206</v>
      </c>
      <c r="BL352" t="s">
        <v>194</v>
      </c>
      <c r="BO352" t="s">
        <v>216</v>
      </c>
      <c r="BP352" t="s">
        <v>216</v>
      </c>
      <c r="BQ352" t="s">
        <v>280</v>
      </c>
      <c r="BR352" t="s">
        <v>232</v>
      </c>
      <c r="BT352" t="s">
        <v>197</v>
      </c>
      <c r="BV352" t="s">
        <v>415</v>
      </c>
      <c r="BW352" t="s">
        <v>416</v>
      </c>
      <c r="BX352" t="s">
        <v>301</v>
      </c>
      <c r="BY352" t="s">
        <v>212</v>
      </c>
      <c r="BZ352" t="s">
        <v>1079</v>
      </c>
      <c r="CA352" t="s">
        <v>194</v>
      </c>
      <c r="CB352" t="s">
        <v>214</v>
      </c>
      <c r="CF352" t="s">
        <v>215</v>
      </c>
      <c r="CH352" t="s">
        <v>214</v>
      </c>
      <c r="CI352" t="s">
        <v>214</v>
      </c>
      <c r="CJ352" t="s">
        <v>214</v>
      </c>
      <c r="CP352" t="s">
        <v>214</v>
      </c>
      <c r="CS352" t="s">
        <v>216</v>
      </c>
      <c r="CV352" t="s">
        <v>214</v>
      </c>
      <c r="CW352" t="s">
        <v>214</v>
      </c>
      <c r="CX352" t="s">
        <v>217</v>
      </c>
      <c r="CY352" t="s">
        <v>214</v>
      </c>
      <c r="DA352" t="s">
        <v>218</v>
      </c>
    </row>
    <row r="353" spans="1:105" x14ac:dyDescent="0.3">
      <c r="A353">
        <v>14158475</v>
      </c>
      <c r="B353">
        <v>9226089</v>
      </c>
      <c r="C353" t="str">
        <f>"090121654885"</f>
        <v>090121654885</v>
      </c>
      <c r="D353" t="s">
        <v>977</v>
      </c>
      <c r="E353" t="s">
        <v>1080</v>
      </c>
      <c r="F353" t="s">
        <v>1081</v>
      </c>
      <c r="G353" s="1">
        <v>39834</v>
      </c>
      <c r="I353" t="s">
        <v>222</v>
      </c>
      <c r="J353" t="s">
        <v>188</v>
      </c>
      <c r="K353" t="s">
        <v>373</v>
      </c>
      <c r="Y353" t="str">
        <f>"2016-08-29T00:00:00"</f>
        <v>2016-08-29T00:00:00</v>
      </c>
      <c r="Z353" t="str">
        <f>"39"</f>
        <v>39</v>
      </c>
      <c r="AA353" t="s">
        <v>835</v>
      </c>
      <c r="AC353" t="s">
        <v>225</v>
      </c>
      <c r="AD353" t="s">
        <v>242</v>
      </c>
      <c r="AE353" t="s">
        <v>413</v>
      </c>
      <c r="AF353" t="s">
        <v>194</v>
      </c>
      <c r="AH353" t="s">
        <v>195</v>
      </c>
      <c r="AI353">
        <v>2</v>
      </c>
      <c r="AJ353" t="s">
        <v>196</v>
      </c>
      <c r="AK353" t="s">
        <v>194</v>
      </c>
      <c r="AL353" t="s">
        <v>197</v>
      </c>
      <c r="AM353" t="s">
        <v>228</v>
      </c>
      <c r="AR353" t="s">
        <v>194</v>
      </c>
      <c r="AS353" t="s">
        <v>199</v>
      </c>
      <c r="AU353" t="s">
        <v>197</v>
      </c>
      <c r="AZ353" t="s">
        <v>194</v>
      </c>
      <c r="BA353" t="s">
        <v>200</v>
      </c>
      <c r="BB353" t="s">
        <v>201</v>
      </c>
      <c r="BD353" t="s">
        <v>200</v>
      </c>
      <c r="BE353" t="s">
        <v>229</v>
      </c>
      <c r="BF353" t="s">
        <v>197</v>
      </c>
      <c r="BG353" t="s">
        <v>269</v>
      </c>
      <c r="BH353" t="s">
        <v>270</v>
      </c>
      <c r="BJ353" t="s">
        <v>205</v>
      </c>
      <c r="BK353" t="s">
        <v>206</v>
      </c>
      <c r="BL353" t="s">
        <v>194</v>
      </c>
      <c r="BO353" t="s">
        <v>216</v>
      </c>
      <c r="BP353" t="s">
        <v>216</v>
      </c>
      <c r="BR353" t="s">
        <v>232</v>
      </c>
      <c r="BT353" t="s">
        <v>197</v>
      </c>
      <c r="BV353" t="s">
        <v>233</v>
      </c>
      <c r="CA353" t="s">
        <v>194</v>
      </c>
      <c r="CB353" t="s">
        <v>214</v>
      </c>
      <c r="CF353" t="s">
        <v>215</v>
      </c>
      <c r="CH353" t="s">
        <v>214</v>
      </c>
      <c r="CI353" t="s">
        <v>214</v>
      </c>
      <c r="CJ353" t="s">
        <v>214</v>
      </c>
      <c r="CP353" t="s">
        <v>214</v>
      </c>
      <c r="CS353" t="s">
        <v>216</v>
      </c>
      <c r="CV353" t="s">
        <v>214</v>
      </c>
      <c r="CW353" t="s">
        <v>214</v>
      </c>
      <c r="CX353" t="s">
        <v>217</v>
      </c>
      <c r="CY353" t="s">
        <v>214</v>
      </c>
      <c r="DA353" t="s">
        <v>218</v>
      </c>
    </row>
    <row r="354" spans="1:105" x14ac:dyDescent="0.3">
      <c r="A354">
        <v>15922091</v>
      </c>
      <c r="B354">
        <v>6132639</v>
      </c>
      <c r="C354" t="str">
        <f>"120212502026"</f>
        <v>120212502026</v>
      </c>
      <c r="D354" t="s">
        <v>1082</v>
      </c>
      <c r="E354" t="s">
        <v>1083</v>
      </c>
      <c r="F354" t="s">
        <v>344</v>
      </c>
      <c r="G354" s="1">
        <v>40951</v>
      </c>
      <c r="I354" t="s">
        <v>187</v>
      </c>
      <c r="J354" t="s">
        <v>188</v>
      </c>
      <c r="K354" t="s">
        <v>189</v>
      </c>
      <c r="Y354" t="str">
        <f>"2020-09-01T00:00:00"</f>
        <v>2020-09-01T00:00:00</v>
      </c>
      <c r="Z354" t="str">
        <f>"22"</f>
        <v>22</v>
      </c>
      <c r="AA354" t="s">
        <v>190</v>
      </c>
      <c r="AC354" t="s">
        <v>225</v>
      </c>
      <c r="AD354" t="s">
        <v>285</v>
      </c>
      <c r="AE354" t="s">
        <v>193</v>
      </c>
      <c r="AF354" t="s">
        <v>194</v>
      </c>
      <c r="AH354" t="s">
        <v>195</v>
      </c>
      <c r="AI354">
        <v>2</v>
      </c>
      <c r="AJ354" t="s">
        <v>196</v>
      </c>
      <c r="AK354" t="s">
        <v>194</v>
      </c>
      <c r="AL354" t="s">
        <v>197</v>
      </c>
      <c r="AM354" t="s">
        <v>198</v>
      </c>
      <c r="AR354" t="s">
        <v>194</v>
      </c>
      <c r="AS354" t="s">
        <v>199</v>
      </c>
      <c r="AU354" t="s">
        <v>197</v>
      </c>
      <c r="AZ354" t="s">
        <v>194</v>
      </c>
      <c r="BB354" t="s">
        <v>201</v>
      </c>
      <c r="BD354" t="s">
        <v>200</v>
      </c>
      <c r="BE354" t="s">
        <v>229</v>
      </c>
      <c r="BF354" t="s">
        <v>197</v>
      </c>
      <c r="BG354" t="s">
        <v>269</v>
      </c>
      <c r="BH354" t="s">
        <v>270</v>
      </c>
      <c r="BJ354" t="s">
        <v>205</v>
      </c>
      <c r="BK354" t="s">
        <v>206</v>
      </c>
      <c r="BL354" t="s">
        <v>194</v>
      </c>
      <c r="BO354" t="s">
        <v>216</v>
      </c>
      <c r="BP354" t="s">
        <v>216</v>
      </c>
      <c r="BQ354" t="s">
        <v>280</v>
      </c>
      <c r="BR354" t="s">
        <v>232</v>
      </c>
      <c r="BT354" t="s">
        <v>197</v>
      </c>
      <c r="BV354" t="s">
        <v>233</v>
      </c>
      <c r="CA354" t="s">
        <v>194</v>
      </c>
      <c r="CB354" t="s">
        <v>214</v>
      </c>
      <c r="CF354" t="s">
        <v>215</v>
      </c>
      <c r="CH354" t="s">
        <v>214</v>
      </c>
      <c r="CI354" t="s">
        <v>214</v>
      </c>
      <c r="CJ354" t="s">
        <v>214</v>
      </c>
      <c r="CP354" t="s">
        <v>214</v>
      </c>
      <c r="CS354" t="s">
        <v>216</v>
      </c>
      <c r="CV354" t="s">
        <v>214</v>
      </c>
      <c r="CW354" t="s">
        <v>214</v>
      </c>
      <c r="CX354" t="s">
        <v>217</v>
      </c>
      <c r="CY354" t="s">
        <v>214</v>
      </c>
      <c r="DA354" t="s">
        <v>218</v>
      </c>
    </row>
    <row r="355" spans="1:105" x14ac:dyDescent="0.3">
      <c r="A355">
        <v>14162500</v>
      </c>
      <c r="B355">
        <v>9229350</v>
      </c>
      <c r="C355" t="str">
        <f>"131111501816"</f>
        <v>131111501816</v>
      </c>
      <c r="D355" t="s">
        <v>1084</v>
      </c>
      <c r="E355" t="s">
        <v>855</v>
      </c>
      <c r="F355" t="s">
        <v>1085</v>
      </c>
      <c r="G355" s="1">
        <v>41589</v>
      </c>
      <c r="I355" t="s">
        <v>187</v>
      </c>
      <c r="J355" t="s">
        <v>188</v>
      </c>
      <c r="K355" t="s">
        <v>189</v>
      </c>
      <c r="Y355" t="str">
        <f>"2019-10-29T00:00:00"</f>
        <v>2019-10-29T00:00:00</v>
      </c>
      <c r="Z355" t="str">
        <f>"52"</f>
        <v>52</v>
      </c>
      <c r="AA355" t="s">
        <v>835</v>
      </c>
      <c r="AC355" t="s">
        <v>225</v>
      </c>
      <c r="AD355" t="s">
        <v>815</v>
      </c>
      <c r="AE355" t="s">
        <v>227</v>
      </c>
      <c r="AF355" t="s">
        <v>194</v>
      </c>
      <c r="AH355" t="s">
        <v>195</v>
      </c>
      <c r="AI355">
        <v>3</v>
      </c>
      <c r="AJ355" t="s">
        <v>196</v>
      </c>
      <c r="AK355" t="s">
        <v>194</v>
      </c>
      <c r="AL355" t="s">
        <v>197</v>
      </c>
      <c r="AM355" t="s">
        <v>228</v>
      </c>
      <c r="AR355" t="s">
        <v>194</v>
      </c>
      <c r="AS355" t="s">
        <v>199</v>
      </c>
      <c r="AU355" t="s">
        <v>197</v>
      </c>
      <c r="AZ355" t="s">
        <v>194</v>
      </c>
      <c r="BA355" t="s">
        <v>200</v>
      </c>
      <c r="BB355" t="s">
        <v>201</v>
      </c>
      <c r="BD355" t="s">
        <v>200</v>
      </c>
      <c r="BE355" t="s">
        <v>202</v>
      </c>
      <c r="BF355" t="s">
        <v>197</v>
      </c>
      <c r="BG355" t="s">
        <v>230</v>
      </c>
      <c r="BH355" t="s">
        <v>400</v>
      </c>
      <c r="BJ355" t="s">
        <v>205</v>
      </c>
      <c r="BK355" t="s">
        <v>206</v>
      </c>
      <c r="BL355" t="s">
        <v>194</v>
      </c>
      <c r="BO355" t="s">
        <v>200</v>
      </c>
      <c r="BP355" t="s">
        <v>200</v>
      </c>
      <c r="BQ355" t="s">
        <v>280</v>
      </c>
      <c r="BR355" t="s">
        <v>232</v>
      </c>
      <c r="BT355" t="s">
        <v>197</v>
      </c>
      <c r="BV355" t="s">
        <v>471</v>
      </c>
      <c r="BW355" t="s">
        <v>416</v>
      </c>
      <c r="BX355" t="s">
        <v>539</v>
      </c>
      <c r="BY355" t="s">
        <v>534</v>
      </c>
      <c r="BZ355" t="s">
        <v>616</v>
      </c>
      <c r="CA355" t="s">
        <v>194</v>
      </c>
      <c r="CB355" t="s">
        <v>214</v>
      </c>
      <c r="CF355" t="s">
        <v>215</v>
      </c>
      <c r="CH355" t="s">
        <v>214</v>
      </c>
      <c r="CI355" t="s">
        <v>214</v>
      </c>
      <c r="CJ355" t="s">
        <v>214</v>
      </c>
      <c r="CP355" t="s">
        <v>214</v>
      </c>
      <c r="CS355" t="s">
        <v>216</v>
      </c>
      <c r="CV355" t="s">
        <v>214</v>
      </c>
      <c r="CW355" t="s">
        <v>214</v>
      </c>
      <c r="CX355" t="s">
        <v>217</v>
      </c>
      <c r="CY355" t="s">
        <v>214</v>
      </c>
      <c r="DA355" t="s">
        <v>218</v>
      </c>
    </row>
    <row r="356" spans="1:105" x14ac:dyDescent="0.3">
      <c r="A356">
        <v>15922174</v>
      </c>
      <c r="B356">
        <v>45855</v>
      </c>
      <c r="C356" t="str">
        <f>"120906602570"</f>
        <v>120906602570</v>
      </c>
      <c r="D356" t="s">
        <v>1086</v>
      </c>
      <c r="E356" t="s">
        <v>1087</v>
      </c>
      <c r="F356" t="s">
        <v>1088</v>
      </c>
      <c r="G356" s="1">
        <v>41158</v>
      </c>
      <c r="I356" t="s">
        <v>222</v>
      </c>
      <c r="J356" t="s">
        <v>188</v>
      </c>
      <c r="K356" t="s">
        <v>189</v>
      </c>
      <c r="Y356" t="str">
        <f>"2020-08-11T00:00:00"</f>
        <v>2020-08-11T00:00:00</v>
      </c>
      <c r="Z356" t="str">
        <f>"17"</f>
        <v>17</v>
      </c>
      <c r="AA356" t="s">
        <v>190</v>
      </c>
      <c r="AC356" t="s">
        <v>191</v>
      </c>
      <c r="AD356" t="s">
        <v>615</v>
      </c>
      <c r="AE356" t="s">
        <v>413</v>
      </c>
      <c r="AF356" t="s">
        <v>194</v>
      </c>
      <c r="AH356" t="s">
        <v>195</v>
      </c>
      <c r="AI356">
        <v>2</v>
      </c>
      <c r="AJ356" t="s">
        <v>196</v>
      </c>
      <c r="AK356" t="s">
        <v>194</v>
      </c>
      <c r="AL356" t="s">
        <v>197</v>
      </c>
      <c r="AM356" t="s">
        <v>198</v>
      </c>
      <c r="AR356" t="s">
        <v>194</v>
      </c>
      <c r="AS356" t="s">
        <v>199</v>
      </c>
      <c r="AU356" t="s">
        <v>197</v>
      </c>
      <c r="AZ356" t="s">
        <v>194</v>
      </c>
      <c r="BB356" t="s">
        <v>201</v>
      </c>
      <c r="BD356" t="s">
        <v>200</v>
      </c>
      <c r="BE356" t="s">
        <v>229</v>
      </c>
      <c r="BF356" t="s">
        <v>197</v>
      </c>
      <c r="BG356" t="s">
        <v>269</v>
      </c>
      <c r="BH356" t="s">
        <v>270</v>
      </c>
      <c r="BJ356" t="s">
        <v>205</v>
      </c>
      <c r="BK356" t="s">
        <v>206</v>
      </c>
      <c r="BL356" t="s">
        <v>194</v>
      </c>
      <c r="BO356" t="s">
        <v>216</v>
      </c>
      <c r="BP356" t="s">
        <v>216</v>
      </c>
      <c r="BQ356" t="s">
        <v>271</v>
      </c>
      <c r="BR356" t="s">
        <v>232</v>
      </c>
      <c r="BT356" t="s">
        <v>197</v>
      </c>
      <c r="BV356" t="s">
        <v>233</v>
      </c>
      <c r="CA356" t="s">
        <v>194</v>
      </c>
      <c r="CB356" t="s">
        <v>214</v>
      </c>
      <c r="CF356" t="s">
        <v>215</v>
      </c>
      <c r="CH356" t="s">
        <v>214</v>
      </c>
      <c r="CI356" t="s">
        <v>214</v>
      </c>
      <c r="CJ356" t="s">
        <v>214</v>
      </c>
      <c r="CP356" t="s">
        <v>214</v>
      </c>
      <c r="CS356" t="s">
        <v>216</v>
      </c>
      <c r="CV356" t="s">
        <v>214</v>
      </c>
      <c r="CW356" t="s">
        <v>214</v>
      </c>
      <c r="CX356" t="s">
        <v>217</v>
      </c>
      <c r="CY356" t="s">
        <v>214</v>
      </c>
      <c r="DA356" t="s">
        <v>218</v>
      </c>
    </row>
    <row r="357" spans="1:105" x14ac:dyDescent="0.3">
      <c r="A357">
        <v>16028936</v>
      </c>
      <c r="B357">
        <v>6189926</v>
      </c>
      <c r="C357" t="str">
        <f>"120627606011"</f>
        <v>120627606011</v>
      </c>
      <c r="D357" t="s">
        <v>659</v>
      </c>
      <c r="E357" t="s">
        <v>1089</v>
      </c>
      <c r="F357" t="s">
        <v>1090</v>
      </c>
      <c r="G357" s="1">
        <v>41087</v>
      </c>
      <c r="I357" t="s">
        <v>222</v>
      </c>
      <c r="J357" t="s">
        <v>188</v>
      </c>
      <c r="K357" t="s">
        <v>189</v>
      </c>
      <c r="Y357" t="str">
        <f>"2020-08-21T00:00:00"</f>
        <v>2020-08-21T00:00:00</v>
      </c>
      <c r="Z357" t="str">
        <f>"18"</f>
        <v>18</v>
      </c>
      <c r="AA357" t="s">
        <v>190</v>
      </c>
      <c r="AC357" t="s">
        <v>225</v>
      </c>
      <c r="AD357" t="s">
        <v>615</v>
      </c>
      <c r="AE357" t="s">
        <v>243</v>
      </c>
      <c r="AF357" t="s">
        <v>194</v>
      </c>
      <c r="AH357" t="s">
        <v>195</v>
      </c>
      <c r="AI357">
        <v>2</v>
      </c>
      <c r="AJ357" t="s">
        <v>196</v>
      </c>
      <c r="AK357" t="s">
        <v>194</v>
      </c>
      <c r="AL357" t="s">
        <v>197</v>
      </c>
      <c r="AM357" t="s">
        <v>198</v>
      </c>
      <c r="AR357" t="s">
        <v>194</v>
      </c>
      <c r="AS357" t="s">
        <v>199</v>
      </c>
      <c r="AU357" t="s">
        <v>197</v>
      </c>
      <c r="AZ357" t="s">
        <v>194</v>
      </c>
      <c r="BB357" t="s">
        <v>201</v>
      </c>
      <c r="BD357" t="s">
        <v>200</v>
      </c>
      <c r="BE357" t="s">
        <v>229</v>
      </c>
      <c r="BF357" t="s">
        <v>197</v>
      </c>
      <c r="BG357" t="s">
        <v>269</v>
      </c>
      <c r="BH357" t="s">
        <v>270</v>
      </c>
      <c r="BJ357" t="s">
        <v>205</v>
      </c>
      <c r="BK357" t="s">
        <v>206</v>
      </c>
      <c r="BL357" t="s">
        <v>194</v>
      </c>
      <c r="BO357" t="s">
        <v>200</v>
      </c>
      <c r="BP357" t="s">
        <v>200</v>
      </c>
      <c r="BQ357" t="s">
        <v>271</v>
      </c>
      <c r="BR357" t="s">
        <v>232</v>
      </c>
      <c r="BT357" t="s">
        <v>197</v>
      </c>
      <c r="BV357" t="s">
        <v>233</v>
      </c>
      <c r="CA357" t="s">
        <v>194</v>
      </c>
      <c r="CB357" t="s">
        <v>214</v>
      </c>
      <c r="CF357" t="s">
        <v>215</v>
      </c>
      <c r="CH357" t="s">
        <v>214</v>
      </c>
      <c r="CI357" t="s">
        <v>214</v>
      </c>
      <c r="CJ357" t="s">
        <v>214</v>
      </c>
      <c r="CP357" t="s">
        <v>214</v>
      </c>
      <c r="CS357" t="s">
        <v>216</v>
      </c>
      <c r="CV357" t="s">
        <v>214</v>
      </c>
      <c r="CW357" t="s">
        <v>214</v>
      </c>
      <c r="CX357" t="s">
        <v>217</v>
      </c>
      <c r="CY357" t="s">
        <v>214</v>
      </c>
      <c r="DA357" t="s">
        <v>218</v>
      </c>
    </row>
    <row r="358" spans="1:105" x14ac:dyDescent="0.3">
      <c r="A358">
        <v>14171881</v>
      </c>
      <c r="B358">
        <v>9232374</v>
      </c>
      <c r="C358" t="str">
        <f>"080703653748"</f>
        <v>080703653748</v>
      </c>
      <c r="D358" t="s">
        <v>1091</v>
      </c>
      <c r="E358" t="s">
        <v>1092</v>
      </c>
      <c r="F358" t="s">
        <v>1093</v>
      </c>
      <c r="G358" s="1">
        <v>39632</v>
      </c>
      <c r="I358" t="s">
        <v>222</v>
      </c>
      <c r="J358" t="s">
        <v>188</v>
      </c>
      <c r="K358" t="s">
        <v>189</v>
      </c>
      <c r="Y358" t="str">
        <f>"2019-08-29T00:00:00"</f>
        <v>2019-08-29T00:00:00</v>
      </c>
      <c r="Z358" t="str">
        <f>"32"</f>
        <v>32</v>
      </c>
      <c r="AA358" t="s">
        <v>835</v>
      </c>
      <c r="AC358" t="s">
        <v>191</v>
      </c>
      <c r="AD358" t="s">
        <v>226</v>
      </c>
      <c r="AE358" t="s">
        <v>227</v>
      </c>
      <c r="AF358" t="s">
        <v>194</v>
      </c>
      <c r="AH358" t="s">
        <v>195</v>
      </c>
      <c r="AI358">
        <v>2</v>
      </c>
      <c r="AJ358" t="s">
        <v>196</v>
      </c>
      <c r="AK358" t="s">
        <v>194</v>
      </c>
      <c r="AL358" t="s">
        <v>197</v>
      </c>
      <c r="AM358" t="s">
        <v>228</v>
      </c>
      <c r="AR358" t="s">
        <v>194</v>
      </c>
      <c r="AS358" t="s">
        <v>199</v>
      </c>
      <c r="AU358" t="s">
        <v>197</v>
      </c>
      <c r="AZ358" t="s">
        <v>194</v>
      </c>
      <c r="BA358" t="s">
        <v>200</v>
      </c>
      <c r="BB358" t="s">
        <v>201</v>
      </c>
      <c r="BD358" t="s">
        <v>200</v>
      </c>
      <c r="BE358" t="s">
        <v>202</v>
      </c>
      <c r="BF358" t="s">
        <v>197</v>
      </c>
      <c r="BG358" t="s">
        <v>230</v>
      </c>
      <c r="BH358" t="s">
        <v>400</v>
      </c>
      <c r="BJ358" t="s">
        <v>205</v>
      </c>
      <c r="BK358" t="s">
        <v>206</v>
      </c>
      <c r="BL358" t="s">
        <v>194</v>
      </c>
      <c r="BO358" t="s">
        <v>200</v>
      </c>
      <c r="BP358" t="s">
        <v>200</v>
      </c>
      <c r="BR358" t="s">
        <v>207</v>
      </c>
      <c r="BS358" t="s">
        <v>208</v>
      </c>
      <c r="BT358" t="s">
        <v>197</v>
      </c>
      <c r="BV358" t="s">
        <v>233</v>
      </c>
      <c r="CA358" t="s">
        <v>194</v>
      </c>
      <c r="CB358" t="s">
        <v>214</v>
      </c>
      <c r="CF358" t="s">
        <v>215</v>
      </c>
      <c r="CH358" t="s">
        <v>214</v>
      </c>
      <c r="CI358" t="s">
        <v>214</v>
      </c>
      <c r="CJ358" t="s">
        <v>214</v>
      </c>
      <c r="CP358" t="s">
        <v>214</v>
      </c>
      <c r="CS358" t="s">
        <v>216</v>
      </c>
      <c r="CV358" t="s">
        <v>214</v>
      </c>
      <c r="CW358" t="s">
        <v>214</v>
      </c>
      <c r="CX358" t="s">
        <v>217</v>
      </c>
      <c r="CY358" t="s">
        <v>214</v>
      </c>
      <c r="DA358" t="s">
        <v>218</v>
      </c>
    </row>
    <row r="359" spans="1:105" x14ac:dyDescent="0.3">
      <c r="A359">
        <v>14172501</v>
      </c>
      <c r="B359">
        <v>6269128</v>
      </c>
      <c r="C359" t="str">
        <f>"080103552862"</f>
        <v>080103552862</v>
      </c>
      <c r="D359" t="s">
        <v>1094</v>
      </c>
      <c r="E359" t="s">
        <v>376</v>
      </c>
      <c r="F359" t="s">
        <v>460</v>
      </c>
      <c r="G359" s="1">
        <v>39450</v>
      </c>
      <c r="I359" t="s">
        <v>187</v>
      </c>
      <c r="J359" t="s">
        <v>188</v>
      </c>
      <c r="K359" t="s">
        <v>223</v>
      </c>
      <c r="Y359" t="str">
        <f>"2019-08-29T00:00:00"</f>
        <v>2019-08-29T00:00:00</v>
      </c>
      <c r="Z359" t="str">
        <f>"32"</f>
        <v>32</v>
      </c>
      <c r="AA359" t="s">
        <v>835</v>
      </c>
      <c r="AC359" t="s">
        <v>237</v>
      </c>
      <c r="AD359" t="s">
        <v>226</v>
      </c>
      <c r="AE359" t="s">
        <v>193</v>
      </c>
      <c r="AF359" t="s">
        <v>194</v>
      </c>
      <c r="AH359" t="s">
        <v>195</v>
      </c>
      <c r="AI359">
        <v>2</v>
      </c>
      <c r="AJ359" t="s">
        <v>196</v>
      </c>
      <c r="AK359" t="s">
        <v>194</v>
      </c>
      <c r="AL359" t="s">
        <v>197</v>
      </c>
      <c r="AM359" t="s">
        <v>228</v>
      </c>
      <c r="AR359" t="s">
        <v>194</v>
      </c>
      <c r="AS359" t="s">
        <v>199</v>
      </c>
      <c r="AU359" t="s">
        <v>197</v>
      </c>
      <c r="AZ359" t="s">
        <v>194</v>
      </c>
      <c r="BA359" t="s">
        <v>200</v>
      </c>
      <c r="BB359" t="s">
        <v>201</v>
      </c>
      <c r="BD359" t="s">
        <v>200</v>
      </c>
      <c r="BE359" t="s">
        <v>202</v>
      </c>
      <c r="BF359" t="s">
        <v>197</v>
      </c>
      <c r="BG359" t="s">
        <v>230</v>
      </c>
      <c r="BH359" t="s">
        <v>400</v>
      </c>
      <c r="BJ359" t="s">
        <v>205</v>
      </c>
      <c r="BK359" t="s">
        <v>206</v>
      </c>
      <c r="BL359" t="s">
        <v>194</v>
      </c>
      <c r="BO359" t="s">
        <v>200</v>
      </c>
      <c r="BP359" t="s">
        <v>200</v>
      </c>
      <c r="BR359" t="s">
        <v>232</v>
      </c>
      <c r="BT359" t="s">
        <v>197</v>
      </c>
      <c r="BV359" t="s">
        <v>233</v>
      </c>
      <c r="CA359" t="s">
        <v>194</v>
      </c>
      <c r="CB359" t="s">
        <v>214</v>
      </c>
      <c r="CF359" t="s">
        <v>215</v>
      </c>
      <c r="CH359" t="s">
        <v>214</v>
      </c>
      <c r="CI359" t="s">
        <v>214</v>
      </c>
      <c r="CJ359" t="s">
        <v>214</v>
      </c>
      <c r="CP359" t="s">
        <v>214</v>
      </c>
      <c r="CS359" t="s">
        <v>216</v>
      </c>
      <c r="CV359" t="s">
        <v>214</v>
      </c>
      <c r="CW359" t="s">
        <v>214</v>
      </c>
      <c r="CX359" t="s">
        <v>217</v>
      </c>
      <c r="CY359" t="s">
        <v>214</v>
      </c>
      <c r="DA359" t="s">
        <v>218</v>
      </c>
    </row>
    <row r="360" spans="1:105" x14ac:dyDescent="0.3">
      <c r="A360">
        <v>14172606</v>
      </c>
      <c r="B360">
        <v>934089</v>
      </c>
      <c r="C360" t="str">
        <f>"070411552290"</f>
        <v>070411552290</v>
      </c>
      <c r="D360" t="s">
        <v>959</v>
      </c>
      <c r="E360" t="s">
        <v>691</v>
      </c>
      <c r="F360" t="s">
        <v>961</v>
      </c>
      <c r="G360" s="1">
        <v>39183</v>
      </c>
      <c r="I360" t="s">
        <v>187</v>
      </c>
      <c r="J360" t="s">
        <v>188</v>
      </c>
      <c r="K360" t="s">
        <v>284</v>
      </c>
      <c r="Y360" t="str">
        <f>"2019-08-29T00:00:00"</f>
        <v>2019-08-29T00:00:00</v>
      </c>
      <c r="Z360" t="str">
        <f>"32"</f>
        <v>32</v>
      </c>
      <c r="AA360" t="s">
        <v>835</v>
      </c>
      <c r="AC360" t="s">
        <v>191</v>
      </c>
      <c r="AD360" t="s">
        <v>226</v>
      </c>
      <c r="AE360" t="s">
        <v>193</v>
      </c>
      <c r="AF360" t="s">
        <v>194</v>
      </c>
      <c r="AH360" t="s">
        <v>195</v>
      </c>
      <c r="AI360">
        <v>2</v>
      </c>
      <c r="AJ360" t="s">
        <v>196</v>
      </c>
      <c r="AK360" t="s">
        <v>194</v>
      </c>
      <c r="AL360" t="s">
        <v>197</v>
      </c>
      <c r="AM360" t="s">
        <v>228</v>
      </c>
      <c r="AR360" t="s">
        <v>194</v>
      </c>
      <c r="AS360" t="s">
        <v>199</v>
      </c>
      <c r="AU360" t="s">
        <v>197</v>
      </c>
      <c r="AZ360" t="s">
        <v>194</v>
      </c>
      <c r="BA360" t="s">
        <v>200</v>
      </c>
      <c r="BB360" t="s">
        <v>201</v>
      </c>
      <c r="BC360" t="s">
        <v>317</v>
      </c>
      <c r="BD360" t="s">
        <v>200</v>
      </c>
      <c r="BE360" t="s">
        <v>202</v>
      </c>
      <c r="BF360" t="s">
        <v>197</v>
      </c>
      <c r="BG360" t="s">
        <v>230</v>
      </c>
      <c r="BH360" t="s">
        <v>400</v>
      </c>
      <c r="BJ360" t="s">
        <v>205</v>
      </c>
      <c r="BK360" t="s">
        <v>206</v>
      </c>
      <c r="BL360" t="s">
        <v>214</v>
      </c>
      <c r="BO360" t="s">
        <v>216</v>
      </c>
      <c r="BP360" t="s">
        <v>216</v>
      </c>
      <c r="BR360" t="s">
        <v>232</v>
      </c>
      <c r="BT360" t="s">
        <v>197</v>
      </c>
      <c r="BV360" t="s">
        <v>233</v>
      </c>
      <c r="CA360" t="s">
        <v>194</v>
      </c>
      <c r="CB360" t="s">
        <v>214</v>
      </c>
      <c r="CF360" t="s">
        <v>215</v>
      </c>
      <c r="CH360" t="s">
        <v>214</v>
      </c>
      <c r="CI360" t="s">
        <v>214</v>
      </c>
      <c r="CJ360" t="s">
        <v>214</v>
      </c>
      <c r="CP360" t="s">
        <v>214</v>
      </c>
      <c r="CS360" t="s">
        <v>216</v>
      </c>
      <c r="CV360" t="s">
        <v>214</v>
      </c>
      <c r="CW360" t="s">
        <v>214</v>
      </c>
      <c r="CX360" t="s">
        <v>217</v>
      </c>
      <c r="CY360" t="s">
        <v>214</v>
      </c>
      <c r="DA360" t="s">
        <v>218</v>
      </c>
    </row>
    <row r="361" spans="1:105" x14ac:dyDescent="0.3">
      <c r="A361">
        <v>14172745</v>
      </c>
      <c r="B361">
        <v>6110548</v>
      </c>
      <c r="C361" t="str">
        <f>"070913653777"</f>
        <v>070913653777</v>
      </c>
      <c r="D361" t="s">
        <v>1095</v>
      </c>
      <c r="E361" t="s">
        <v>966</v>
      </c>
      <c r="F361" t="s">
        <v>334</v>
      </c>
      <c r="G361" s="1">
        <v>39338</v>
      </c>
      <c r="I361" t="s">
        <v>222</v>
      </c>
      <c r="J361" t="s">
        <v>188</v>
      </c>
      <c r="K361" t="s">
        <v>189</v>
      </c>
      <c r="Y361" t="str">
        <f>"2019-08-29T00:00:00"</f>
        <v>2019-08-29T00:00:00</v>
      </c>
      <c r="Z361" t="str">
        <f>"32"</f>
        <v>32</v>
      </c>
      <c r="AA361" t="s">
        <v>835</v>
      </c>
      <c r="AB361" t="str">
        <f>"akm_arshalu_novoaleksandrovka@mail.ru"</f>
        <v>akm_arshalu_novoaleksandrovka@mail.ru</v>
      </c>
      <c r="AC361" t="s">
        <v>191</v>
      </c>
      <c r="AD361" t="s">
        <v>192</v>
      </c>
      <c r="AE361" t="s">
        <v>193</v>
      </c>
      <c r="AF361" t="s">
        <v>194</v>
      </c>
      <c r="AH361" t="s">
        <v>195</v>
      </c>
      <c r="AI361">
        <v>3</v>
      </c>
      <c r="AJ361" t="s">
        <v>196</v>
      </c>
      <c r="AK361" t="s">
        <v>194</v>
      </c>
      <c r="AL361" t="s">
        <v>197</v>
      </c>
      <c r="AM361" t="s">
        <v>228</v>
      </c>
      <c r="AR361" t="s">
        <v>194</v>
      </c>
      <c r="AS361" t="s">
        <v>199</v>
      </c>
      <c r="AU361" t="s">
        <v>197</v>
      </c>
      <c r="AZ361" t="s">
        <v>194</v>
      </c>
      <c r="BA361" t="s">
        <v>200</v>
      </c>
      <c r="BB361" t="s">
        <v>201</v>
      </c>
      <c r="BD361" t="s">
        <v>200</v>
      </c>
      <c r="BE361" t="s">
        <v>229</v>
      </c>
      <c r="BF361" t="s">
        <v>197</v>
      </c>
      <c r="BG361" t="s">
        <v>290</v>
      </c>
      <c r="BH361" t="s">
        <v>291</v>
      </c>
      <c r="BJ361" t="s">
        <v>205</v>
      </c>
      <c r="BK361" t="s">
        <v>206</v>
      </c>
      <c r="BL361" t="s">
        <v>194</v>
      </c>
      <c r="BO361" t="s">
        <v>200</v>
      </c>
      <c r="BP361" t="s">
        <v>200</v>
      </c>
      <c r="BR361" t="s">
        <v>207</v>
      </c>
      <c r="BS361" t="s">
        <v>208</v>
      </c>
      <c r="BT361" t="s">
        <v>197</v>
      </c>
      <c r="BV361" t="s">
        <v>233</v>
      </c>
      <c r="CA361" t="s">
        <v>194</v>
      </c>
      <c r="CB361" t="s">
        <v>214</v>
      </c>
      <c r="CF361" t="s">
        <v>215</v>
      </c>
      <c r="CH361" t="s">
        <v>214</v>
      </c>
      <c r="CI361" t="s">
        <v>214</v>
      </c>
      <c r="CJ361" t="s">
        <v>214</v>
      </c>
      <c r="CP361" t="s">
        <v>214</v>
      </c>
      <c r="CS361" t="s">
        <v>216</v>
      </c>
      <c r="CV361" t="s">
        <v>214</v>
      </c>
      <c r="CW361" t="s">
        <v>214</v>
      </c>
      <c r="CX361" t="s">
        <v>217</v>
      </c>
      <c r="CY361" t="s">
        <v>214</v>
      </c>
      <c r="DA361" t="s">
        <v>218</v>
      </c>
    </row>
    <row r="362" spans="1:105" x14ac:dyDescent="0.3">
      <c r="A362">
        <v>14690272</v>
      </c>
      <c r="B362">
        <v>6324302</v>
      </c>
      <c r="C362" t="str">
        <f>"080522654030"</f>
        <v>080522654030</v>
      </c>
      <c r="D362" t="s">
        <v>973</v>
      </c>
      <c r="E362" t="s">
        <v>639</v>
      </c>
      <c r="F362" t="s">
        <v>464</v>
      </c>
      <c r="G362" s="1">
        <v>39590</v>
      </c>
      <c r="I362" t="s">
        <v>222</v>
      </c>
      <c r="J362" t="s">
        <v>188</v>
      </c>
      <c r="K362" t="s">
        <v>223</v>
      </c>
      <c r="Y362" t="str">
        <f>"2019-08-29T00:00:00"</f>
        <v>2019-08-29T00:00:00</v>
      </c>
      <c r="Z362" t="str">
        <f>"32"</f>
        <v>32</v>
      </c>
      <c r="AA362" t="s">
        <v>835</v>
      </c>
      <c r="AC362" t="s">
        <v>255</v>
      </c>
      <c r="AD362" t="s">
        <v>226</v>
      </c>
      <c r="AE362" t="s">
        <v>227</v>
      </c>
      <c r="AF362" t="s">
        <v>194</v>
      </c>
      <c r="AH362" t="s">
        <v>195</v>
      </c>
      <c r="AI362">
        <v>2</v>
      </c>
      <c r="AJ362" t="s">
        <v>196</v>
      </c>
      <c r="AK362" t="s">
        <v>194</v>
      </c>
      <c r="AL362" t="s">
        <v>197</v>
      </c>
      <c r="AM362" t="s">
        <v>228</v>
      </c>
      <c r="AR362" t="s">
        <v>194</v>
      </c>
      <c r="AS362" t="s">
        <v>199</v>
      </c>
      <c r="AU362" t="s">
        <v>197</v>
      </c>
      <c r="AZ362" t="s">
        <v>194</v>
      </c>
      <c r="BA362" t="s">
        <v>200</v>
      </c>
      <c r="BB362" t="s">
        <v>201</v>
      </c>
      <c r="BD362" t="s">
        <v>200</v>
      </c>
      <c r="BE362" t="s">
        <v>229</v>
      </c>
      <c r="BF362" t="s">
        <v>197</v>
      </c>
      <c r="BG362" t="s">
        <v>230</v>
      </c>
      <c r="BH362" t="s">
        <v>307</v>
      </c>
      <c r="BJ362" t="s">
        <v>205</v>
      </c>
      <c r="BK362" t="s">
        <v>206</v>
      </c>
      <c r="BL362" t="s">
        <v>194</v>
      </c>
      <c r="BO362" t="s">
        <v>200</v>
      </c>
      <c r="BP362" t="s">
        <v>200</v>
      </c>
      <c r="BR362" t="s">
        <v>207</v>
      </c>
      <c r="BS362" t="s">
        <v>208</v>
      </c>
      <c r="BT362" t="s">
        <v>197</v>
      </c>
      <c r="BV362" t="s">
        <v>233</v>
      </c>
      <c r="CA362" t="s">
        <v>194</v>
      </c>
      <c r="CB362" t="s">
        <v>214</v>
      </c>
      <c r="CF362" t="s">
        <v>215</v>
      </c>
      <c r="CH362" t="s">
        <v>214</v>
      </c>
      <c r="CI362" t="s">
        <v>214</v>
      </c>
      <c r="CJ362" t="s">
        <v>214</v>
      </c>
      <c r="CP362" t="s">
        <v>214</v>
      </c>
      <c r="CS362" t="s">
        <v>216</v>
      </c>
      <c r="CV362" t="s">
        <v>214</v>
      </c>
      <c r="CW362" t="s">
        <v>214</v>
      </c>
      <c r="CX362" t="s">
        <v>217</v>
      </c>
      <c r="CY362" t="s">
        <v>214</v>
      </c>
      <c r="DA362" t="s">
        <v>218</v>
      </c>
    </row>
    <row r="363" spans="1:105" x14ac:dyDescent="0.3">
      <c r="A363">
        <v>15242092</v>
      </c>
      <c r="B363">
        <v>5966182</v>
      </c>
      <c r="C363" t="str">
        <f>"100803552041"</f>
        <v>100803552041</v>
      </c>
      <c r="D363" t="s">
        <v>1096</v>
      </c>
      <c r="E363" t="s">
        <v>385</v>
      </c>
      <c r="F363" t="s">
        <v>529</v>
      </c>
      <c r="G363" s="1">
        <v>40393</v>
      </c>
      <c r="I363" t="s">
        <v>187</v>
      </c>
      <c r="J363" t="s">
        <v>188</v>
      </c>
      <c r="K363" t="s">
        <v>223</v>
      </c>
      <c r="Y363" t="str">
        <f>"2020-02-03T00:00:00"</f>
        <v>2020-02-03T00:00:00</v>
      </c>
      <c r="Z363" t="str">
        <f>"5"</f>
        <v>5</v>
      </c>
      <c r="AA363" t="s">
        <v>190</v>
      </c>
      <c r="AC363" t="s">
        <v>191</v>
      </c>
      <c r="AD363" t="s">
        <v>285</v>
      </c>
      <c r="AE363" t="s">
        <v>193</v>
      </c>
      <c r="AF363" t="s">
        <v>194</v>
      </c>
      <c r="AH363" t="s">
        <v>195</v>
      </c>
      <c r="AI363">
        <v>2</v>
      </c>
      <c r="AJ363" t="s">
        <v>196</v>
      </c>
      <c r="AK363" t="s">
        <v>194</v>
      </c>
      <c r="AL363" t="s">
        <v>197</v>
      </c>
      <c r="AM363" t="s">
        <v>198</v>
      </c>
      <c r="AR363" t="s">
        <v>194</v>
      </c>
      <c r="AS363" t="s">
        <v>199</v>
      </c>
      <c r="AU363" t="s">
        <v>197</v>
      </c>
      <c r="AZ363" t="s">
        <v>194</v>
      </c>
      <c r="BA363" t="s">
        <v>200</v>
      </c>
      <c r="BB363" t="s">
        <v>201</v>
      </c>
      <c r="BD363" t="s">
        <v>200</v>
      </c>
      <c r="BE363" t="s">
        <v>229</v>
      </c>
      <c r="BF363" t="s">
        <v>197</v>
      </c>
      <c r="BG363" t="s">
        <v>269</v>
      </c>
      <c r="BH363" t="s">
        <v>270</v>
      </c>
      <c r="BJ363" t="s">
        <v>205</v>
      </c>
      <c r="BK363" t="s">
        <v>206</v>
      </c>
      <c r="BL363" t="s">
        <v>194</v>
      </c>
      <c r="BO363" t="s">
        <v>216</v>
      </c>
      <c r="BP363" t="s">
        <v>216</v>
      </c>
      <c r="BQ363" t="s">
        <v>286</v>
      </c>
      <c r="BR363" t="s">
        <v>232</v>
      </c>
      <c r="BT363" t="s">
        <v>197</v>
      </c>
      <c r="BV363" t="s">
        <v>233</v>
      </c>
      <c r="CA363" t="s">
        <v>194</v>
      </c>
      <c r="CB363" t="s">
        <v>214</v>
      </c>
      <c r="CF363" t="s">
        <v>215</v>
      </c>
      <c r="CH363" t="s">
        <v>214</v>
      </c>
      <c r="CI363" t="s">
        <v>214</v>
      </c>
      <c r="CJ363" t="s">
        <v>214</v>
      </c>
      <c r="CP363" t="s">
        <v>214</v>
      </c>
      <c r="CS363" t="s">
        <v>216</v>
      </c>
      <c r="CV363" t="s">
        <v>214</v>
      </c>
      <c r="CW363" t="s">
        <v>214</v>
      </c>
      <c r="CX363" t="s">
        <v>217</v>
      </c>
      <c r="CY363" t="s">
        <v>214</v>
      </c>
      <c r="DA363" t="s">
        <v>218</v>
      </c>
    </row>
    <row r="364" spans="1:105" x14ac:dyDescent="0.3">
      <c r="A364">
        <v>15305562</v>
      </c>
      <c r="B364">
        <v>794220</v>
      </c>
      <c r="C364" t="str">
        <f>"090319651272"</f>
        <v>090319651272</v>
      </c>
      <c r="D364" t="s">
        <v>1097</v>
      </c>
      <c r="E364" t="s">
        <v>1098</v>
      </c>
      <c r="F364" t="s">
        <v>1099</v>
      </c>
      <c r="G364" s="1">
        <v>39891</v>
      </c>
      <c r="I364" t="s">
        <v>222</v>
      </c>
      <c r="J364" t="s">
        <v>188</v>
      </c>
      <c r="K364" t="s">
        <v>189</v>
      </c>
      <c r="Y364" t="str">
        <f>"2019-09-02T00:00:00"</f>
        <v>2019-09-02T00:00:00</v>
      </c>
      <c r="Z364" t="str">
        <f>"34"</f>
        <v>34</v>
      </c>
      <c r="AA364" t="s">
        <v>190</v>
      </c>
      <c r="AC364" t="s">
        <v>255</v>
      </c>
      <c r="AD364" t="s">
        <v>242</v>
      </c>
      <c r="AE364" t="s">
        <v>193</v>
      </c>
      <c r="AF364" t="s">
        <v>194</v>
      </c>
      <c r="AH364" t="s">
        <v>195</v>
      </c>
      <c r="AI364">
        <v>1</v>
      </c>
      <c r="AJ364" t="s">
        <v>196</v>
      </c>
      <c r="AK364" t="s">
        <v>194</v>
      </c>
      <c r="AL364" t="s">
        <v>197</v>
      </c>
      <c r="AM364" t="s">
        <v>228</v>
      </c>
      <c r="AR364" t="s">
        <v>194</v>
      </c>
      <c r="AS364" t="s">
        <v>199</v>
      </c>
      <c r="AU364" t="s">
        <v>197</v>
      </c>
      <c r="AZ364" t="s">
        <v>194</v>
      </c>
      <c r="BA364" t="s">
        <v>200</v>
      </c>
      <c r="BB364" t="s">
        <v>201</v>
      </c>
      <c r="BD364" t="s">
        <v>200</v>
      </c>
      <c r="BE364" t="s">
        <v>202</v>
      </c>
      <c r="BF364" t="s">
        <v>197</v>
      </c>
      <c r="BG364" t="s">
        <v>230</v>
      </c>
      <c r="BH364" t="s">
        <v>400</v>
      </c>
      <c r="BJ364" t="s">
        <v>205</v>
      </c>
      <c r="BK364" t="s">
        <v>206</v>
      </c>
      <c r="BL364" t="s">
        <v>194</v>
      </c>
      <c r="BO364" t="s">
        <v>216</v>
      </c>
      <c r="BP364" t="s">
        <v>216</v>
      </c>
      <c r="BR364" t="s">
        <v>232</v>
      </c>
      <c r="BT364" t="s">
        <v>197</v>
      </c>
      <c r="BV364" t="s">
        <v>233</v>
      </c>
      <c r="CA364" t="s">
        <v>194</v>
      </c>
      <c r="CB364" t="s">
        <v>214</v>
      </c>
      <c r="CF364" t="s">
        <v>215</v>
      </c>
      <c r="CH364" t="s">
        <v>214</v>
      </c>
      <c r="CI364" t="s">
        <v>214</v>
      </c>
      <c r="CJ364" t="s">
        <v>214</v>
      </c>
      <c r="CP364" t="s">
        <v>214</v>
      </c>
      <c r="CS364" t="s">
        <v>216</v>
      </c>
      <c r="CV364" t="s">
        <v>214</v>
      </c>
      <c r="CW364" t="s">
        <v>214</v>
      </c>
      <c r="CX364" t="s">
        <v>217</v>
      </c>
      <c r="CY364" t="s">
        <v>214</v>
      </c>
      <c r="DA364" t="s">
        <v>218</v>
      </c>
    </row>
    <row r="365" spans="1:105" x14ac:dyDescent="0.3">
      <c r="A365">
        <v>16044451</v>
      </c>
      <c r="B365">
        <v>624920</v>
      </c>
      <c r="C365" t="str">
        <f>"140625601608"</f>
        <v>140625601608</v>
      </c>
      <c r="D365" t="s">
        <v>1100</v>
      </c>
      <c r="E365" t="s">
        <v>1059</v>
      </c>
      <c r="F365" t="s">
        <v>221</v>
      </c>
      <c r="G365" s="1">
        <v>41815</v>
      </c>
      <c r="I365" t="s">
        <v>222</v>
      </c>
      <c r="J365" t="s">
        <v>188</v>
      </c>
      <c r="K365" t="s">
        <v>223</v>
      </c>
      <c r="Y365" t="str">
        <f>"2020-08-28T00:00:00"</f>
        <v>2020-08-28T00:00:00</v>
      </c>
      <c r="Z365" t="str">
        <f>"20"</f>
        <v>20</v>
      </c>
      <c r="AA365" t="s">
        <v>224</v>
      </c>
      <c r="AC365" t="s">
        <v>225</v>
      </c>
      <c r="AD365" t="s">
        <v>899</v>
      </c>
      <c r="AE365" t="s">
        <v>227</v>
      </c>
      <c r="AF365" t="s">
        <v>194</v>
      </c>
      <c r="AH365" t="s">
        <v>195</v>
      </c>
      <c r="AI365">
        <v>2</v>
      </c>
      <c r="AJ365" t="s">
        <v>196</v>
      </c>
      <c r="AK365" t="s">
        <v>194</v>
      </c>
      <c r="AL365" t="s">
        <v>197</v>
      </c>
      <c r="AM365" t="s">
        <v>198</v>
      </c>
      <c r="AR365" t="s">
        <v>194</v>
      </c>
      <c r="AS365" t="s">
        <v>199</v>
      </c>
      <c r="AU365" t="s">
        <v>197</v>
      </c>
      <c r="AZ365" t="s">
        <v>194</v>
      </c>
      <c r="BB365" t="s">
        <v>201</v>
      </c>
      <c r="BD365" t="s">
        <v>200</v>
      </c>
      <c r="BE365" t="s">
        <v>900</v>
      </c>
      <c r="BF365" t="s">
        <v>197</v>
      </c>
      <c r="BJ365" t="s">
        <v>205</v>
      </c>
      <c r="BK365" t="s">
        <v>206</v>
      </c>
      <c r="BL365" t="s">
        <v>194</v>
      </c>
      <c r="BO365" t="s">
        <v>200</v>
      </c>
      <c r="BP365" t="s">
        <v>200</v>
      </c>
      <c r="BQ365" t="s">
        <v>280</v>
      </c>
      <c r="BR365" t="s">
        <v>232</v>
      </c>
      <c r="BT365" t="s">
        <v>197</v>
      </c>
      <c r="BV365" t="s">
        <v>233</v>
      </c>
      <c r="CA365" t="s">
        <v>194</v>
      </c>
      <c r="CB365" t="s">
        <v>214</v>
      </c>
      <c r="CF365" t="s">
        <v>215</v>
      </c>
      <c r="CH365" t="s">
        <v>214</v>
      </c>
      <c r="CI365" t="s">
        <v>214</v>
      </c>
      <c r="CJ365" t="s">
        <v>214</v>
      </c>
      <c r="CP365" t="s">
        <v>214</v>
      </c>
      <c r="CS365" t="s">
        <v>216</v>
      </c>
      <c r="CV365" t="s">
        <v>214</v>
      </c>
      <c r="CW365" t="s">
        <v>214</v>
      </c>
      <c r="CX365" t="s">
        <v>217</v>
      </c>
      <c r="CY365" t="s">
        <v>214</v>
      </c>
      <c r="DA365" t="s">
        <v>218</v>
      </c>
    </row>
    <row r="366" spans="1:105" x14ac:dyDescent="0.3">
      <c r="A366">
        <v>15306905</v>
      </c>
      <c r="B366">
        <v>6446312</v>
      </c>
      <c r="C366" t="str">
        <f>"100921551194"</f>
        <v>100921551194</v>
      </c>
      <c r="D366" t="s">
        <v>1101</v>
      </c>
      <c r="E366" t="s">
        <v>933</v>
      </c>
      <c r="F366" t="s">
        <v>1102</v>
      </c>
      <c r="G366" s="1">
        <v>40442</v>
      </c>
      <c r="I366" t="s">
        <v>187</v>
      </c>
      <c r="J366" t="s">
        <v>188</v>
      </c>
      <c r="K366" t="s">
        <v>189</v>
      </c>
      <c r="Y366" t="str">
        <f>"2019-01-10T00:00:00"</f>
        <v>2019-01-10T00:00:00</v>
      </c>
      <c r="Z366" t="str">
        <f>"02"</f>
        <v>02</v>
      </c>
      <c r="AA366" t="s">
        <v>190</v>
      </c>
      <c r="AC366" t="s">
        <v>237</v>
      </c>
      <c r="AD366" t="s">
        <v>261</v>
      </c>
      <c r="AE366" t="s">
        <v>227</v>
      </c>
      <c r="AF366" t="s">
        <v>194</v>
      </c>
      <c r="AH366" t="s">
        <v>195</v>
      </c>
      <c r="AI366">
        <v>2</v>
      </c>
      <c r="AJ366" t="s">
        <v>196</v>
      </c>
      <c r="AK366" t="s">
        <v>194</v>
      </c>
      <c r="AL366" t="s">
        <v>197</v>
      </c>
      <c r="AM366" t="s">
        <v>228</v>
      </c>
      <c r="AR366" t="s">
        <v>194</v>
      </c>
      <c r="AS366" t="s">
        <v>199</v>
      </c>
      <c r="AU366" t="s">
        <v>197</v>
      </c>
      <c r="AZ366" t="s">
        <v>194</v>
      </c>
      <c r="BA366" t="s">
        <v>200</v>
      </c>
      <c r="BB366" t="s">
        <v>201</v>
      </c>
      <c r="BC366" t="s">
        <v>317</v>
      </c>
      <c r="BD366" t="s">
        <v>200</v>
      </c>
      <c r="BE366" t="s">
        <v>229</v>
      </c>
      <c r="BF366" t="s">
        <v>197</v>
      </c>
      <c r="BG366" t="s">
        <v>269</v>
      </c>
      <c r="BH366" t="s">
        <v>270</v>
      </c>
      <c r="BJ366" t="s">
        <v>205</v>
      </c>
      <c r="BK366" t="s">
        <v>206</v>
      </c>
      <c r="BL366" t="s">
        <v>194</v>
      </c>
      <c r="BO366" t="s">
        <v>200</v>
      </c>
      <c r="BP366" t="s">
        <v>200</v>
      </c>
      <c r="BR366" t="s">
        <v>232</v>
      </c>
      <c r="BT366" t="s">
        <v>197</v>
      </c>
      <c r="BV366" t="s">
        <v>233</v>
      </c>
      <c r="CA366" t="s">
        <v>194</v>
      </c>
      <c r="CB366" t="s">
        <v>214</v>
      </c>
      <c r="CF366" t="s">
        <v>215</v>
      </c>
      <c r="CH366" t="s">
        <v>214</v>
      </c>
      <c r="CI366" t="s">
        <v>214</v>
      </c>
      <c r="CJ366" t="s">
        <v>214</v>
      </c>
      <c r="CP366" t="s">
        <v>214</v>
      </c>
      <c r="CS366" t="s">
        <v>216</v>
      </c>
      <c r="CV366" t="s">
        <v>214</v>
      </c>
      <c r="CW366" t="s">
        <v>214</v>
      </c>
      <c r="CX366" t="s">
        <v>217</v>
      </c>
      <c r="CY366" t="s">
        <v>214</v>
      </c>
      <c r="DA366" t="s">
        <v>218</v>
      </c>
    </row>
    <row r="367" spans="1:105" x14ac:dyDescent="0.3">
      <c r="A367">
        <v>15371285</v>
      </c>
      <c r="B367">
        <v>9042155</v>
      </c>
      <c r="C367" t="str">
        <f>"130419505464"</f>
        <v>130419505464</v>
      </c>
      <c r="D367" t="s">
        <v>1103</v>
      </c>
      <c r="E367" t="s">
        <v>1104</v>
      </c>
      <c r="F367" t="s">
        <v>1105</v>
      </c>
      <c r="G367" s="1">
        <v>41383</v>
      </c>
      <c r="I367" t="s">
        <v>187</v>
      </c>
      <c r="J367" t="s">
        <v>188</v>
      </c>
      <c r="K367" t="s">
        <v>189</v>
      </c>
      <c r="Y367" t="str">
        <f>"2019-09-24T00:00:00"</f>
        <v>2019-09-24T00:00:00</v>
      </c>
      <c r="Z367" t="str">
        <f>"46"</f>
        <v>46</v>
      </c>
      <c r="AA367" t="s">
        <v>190</v>
      </c>
      <c r="AC367" t="s">
        <v>237</v>
      </c>
      <c r="AD367" t="s">
        <v>815</v>
      </c>
      <c r="AE367" t="s">
        <v>227</v>
      </c>
      <c r="AF367" t="s">
        <v>194</v>
      </c>
      <c r="AH367" t="s">
        <v>195</v>
      </c>
      <c r="AI367">
        <v>1</v>
      </c>
      <c r="AJ367" t="s">
        <v>196</v>
      </c>
      <c r="AK367" t="s">
        <v>194</v>
      </c>
      <c r="AL367" t="s">
        <v>197</v>
      </c>
      <c r="AM367" t="s">
        <v>811</v>
      </c>
      <c r="AQ367" t="str">
        <f>"2020-11-11T13:29:56"</f>
        <v>2020-11-11T13:29:56</v>
      </c>
      <c r="AR367" t="s">
        <v>214</v>
      </c>
      <c r="AU367" t="s">
        <v>197</v>
      </c>
      <c r="AZ367" t="s">
        <v>194</v>
      </c>
      <c r="BA367" t="s">
        <v>200</v>
      </c>
      <c r="BB367" t="s">
        <v>201</v>
      </c>
      <c r="BD367" t="s">
        <v>200</v>
      </c>
      <c r="BE367" t="s">
        <v>202</v>
      </c>
      <c r="BF367" t="s">
        <v>197</v>
      </c>
      <c r="BG367" t="s">
        <v>230</v>
      </c>
      <c r="BH367" t="s">
        <v>400</v>
      </c>
      <c r="BJ367" t="s">
        <v>205</v>
      </c>
      <c r="BK367" t="s">
        <v>206</v>
      </c>
      <c r="BL367" t="s">
        <v>194</v>
      </c>
      <c r="BO367" t="s">
        <v>200</v>
      </c>
      <c r="BP367" t="s">
        <v>200</v>
      </c>
      <c r="BQ367" t="s">
        <v>280</v>
      </c>
      <c r="BR367" t="s">
        <v>232</v>
      </c>
      <c r="BT367" t="s">
        <v>197</v>
      </c>
      <c r="BV367" t="s">
        <v>415</v>
      </c>
      <c r="BW367" t="s">
        <v>416</v>
      </c>
      <c r="BX367" t="s">
        <v>211</v>
      </c>
      <c r="BY367" t="s">
        <v>534</v>
      </c>
      <c r="BZ367" t="s">
        <v>1106</v>
      </c>
      <c r="CA367" t="s">
        <v>194</v>
      </c>
      <c r="CB367" t="s">
        <v>214</v>
      </c>
      <c r="CF367" t="s">
        <v>215</v>
      </c>
      <c r="CH367" t="s">
        <v>214</v>
      </c>
      <c r="CI367" t="s">
        <v>214</v>
      </c>
      <c r="CJ367" t="s">
        <v>214</v>
      </c>
      <c r="CP367" t="s">
        <v>214</v>
      </c>
      <c r="CS367" t="s">
        <v>216</v>
      </c>
      <c r="CV367" t="s">
        <v>214</v>
      </c>
      <c r="CW367" t="s">
        <v>214</v>
      </c>
      <c r="CX367" t="s">
        <v>217</v>
      </c>
      <c r="CY367" t="s">
        <v>214</v>
      </c>
      <c r="DA367" t="s">
        <v>218</v>
      </c>
    </row>
    <row r="368" spans="1:105" x14ac:dyDescent="0.3">
      <c r="A368">
        <v>15385539</v>
      </c>
      <c r="B368">
        <v>9663388</v>
      </c>
      <c r="C368" t="str">
        <f>"080715653894"</f>
        <v>080715653894</v>
      </c>
      <c r="D368" t="s">
        <v>1107</v>
      </c>
      <c r="E368" t="s">
        <v>875</v>
      </c>
      <c r="F368" t="s">
        <v>1108</v>
      </c>
      <c r="G368" s="1">
        <v>39644</v>
      </c>
      <c r="I368" t="s">
        <v>222</v>
      </c>
      <c r="J368" t="s">
        <v>188</v>
      </c>
      <c r="K368" t="s">
        <v>189</v>
      </c>
      <c r="Y368" t="str">
        <f>"2019-04-03T11:58:00"</f>
        <v>2019-04-03T11:58:00</v>
      </c>
      <c r="Z368" t="str">
        <f>"21"</f>
        <v>21</v>
      </c>
      <c r="AA368" t="s">
        <v>190</v>
      </c>
      <c r="AC368" t="s">
        <v>225</v>
      </c>
      <c r="AD368" t="s">
        <v>226</v>
      </c>
      <c r="AE368" t="s">
        <v>193</v>
      </c>
      <c r="AF368" t="s">
        <v>194</v>
      </c>
      <c r="AH368" t="s">
        <v>195</v>
      </c>
      <c r="AI368">
        <v>2</v>
      </c>
      <c r="AJ368" t="s">
        <v>196</v>
      </c>
      <c r="AK368" t="s">
        <v>194</v>
      </c>
      <c r="AL368" t="s">
        <v>197</v>
      </c>
      <c r="AM368" t="s">
        <v>228</v>
      </c>
      <c r="AR368" t="s">
        <v>194</v>
      </c>
      <c r="AS368" t="s">
        <v>199</v>
      </c>
      <c r="AU368" t="s">
        <v>197</v>
      </c>
      <c r="AZ368" t="s">
        <v>194</v>
      </c>
      <c r="BA368" t="s">
        <v>200</v>
      </c>
      <c r="BB368" t="s">
        <v>201</v>
      </c>
      <c r="BD368" t="s">
        <v>200</v>
      </c>
      <c r="BE368" t="s">
        <v>229</v>
      </c>
      <c r="BF368" t="s">
        <v>197</v>
      </c>
      <c r="BG368" t="s">
        <v>230</v>
      </c>
      <c r="BH368" t="s">
        <v>231</v>
      </c>
      <c r="BJ368" t="s">
        <v>205</v>
      </c>
      <c r="BK368" t="s">
        <v>206</v>
      </c>
      <c r="BL368" t="s">
        <v>194</v>
      </c>
      <c r="BO368" t="s">
        <v>200</v>
      </c>
      <c r="BP368" t="s">
        <v>200</v>
      </c>
      <c r="BR368" t="s">
        <v>232</v>
      </c>
      <c r="BT368" t="s">
        <v>197</v>
      </c>
      <c r="BV368" t="s">
        <v>233</v>
      </c>
      <c r="CA368" t="s">
        <v>194</v>
      </c>
      <c r="CB368" t="s">
        <v>214</v>
      </c>
      <c r="CF368" t="s">
        <v>215</v>
      </c>
      <c r="CH368" t="s">
        <v>214</v>
      </c>
      <c r="CI368" t="s">
        <v>214</v>
      </c>
      <c r="CJ368" t="s">
        <v>214</v>
      </c>
      <c r="CP368" t="s">
        <v>214</v>
      </c>
      <c r="CS368" t="s">
        <v>216</v>
      </c>
      <c r="CV368" t="s">
        <v>214</v>
      </c>
      <c r="CW368" t="s">
        <v>214</v>
      </c>
      <c r="CX368" t="s">
        <v>217</v>
      </c>
      <c r="CY368" t="s">
        <v>214</v>
      </c>
      <c r="DA368" t="s">
        <v>218</v>
      </c>
    </row>
    <row r="369" spans="1:105" x14ac:dyDescent="0.3">
      <c r="A369">
        <v>16044802</v>
      </c>
      <c r="B369">
        <v>9816844</v>
      </c>
      <c r="C369" t="str">
        <f>"140609500676"</f>
        <v>140609500676</v>
      </c>
      <c r="D369" t="s">
        <v>1109</v>
      </c>
      <c r="E369" t="s">
        <v>933</v>
      </c>
      <c r="F369" t="s">
        <v>805</v>
      </c>
      <c r="G369" s="1">
        <v>41799</v>
      </c>
      <c r="I369" t="s">
        <v>187</v>
      </c>
      <c r="J369" t="s">
        <v>188</v>
      </c>
      <c r="K369" t="s">
        <v>223</v>
      </c>
      <c r="Y369" t="str">
        <f>"2020-08-28T00:00:00"</f>
        <v>2020-08-28T00:00:00</v>
      </c>
      <c r="Z369" t="str">
        <f>"20"</f>
        <v>20</v>
      </c>
      <c r="AA369" t="s">
        <v>190</v>
      </c>
      <c r="AC369" t="s">
        <v>225</v>
      </c>
      <c r="AD369" t="s">
        <v>899</v>
      </c>
      <c r="AE369" t="s">
        <v>227</v>
      </c>
      <c r="AF369" t="s">
        <v>194</v>
      </c>
      <c r="AH369" t="s">
        <v>195</v>
      </c>
      <c r="AI369">
        <v>2</v>
      </c>
      <c r="AJ369" t="s">
        <v>196</v>
      </c>
      <c r="AK369" t="s">
        <v>194</v>
      </c>
      <c r="AL369" t="s">
        <v>197</v>
      </c>
      <c r="AM369" t="s">
        <v>198</v>
      </c>
      <c r="AR369" t="s">
        <v>194</v>
      </c>
      <c r="AS369" t="s">
        <v>199</v>
      </c>
      <c r="AU369" t="s">
        <v>197</v>
      </c>
      <c r="AZ369" t="s">
        <v>194</v>
      </c>
      <c r="BB369" t="s">
        <v>201</v>
      </c>
      <c r="BD369" t="s">
        <v>200</v>
      </c>
      <c r="BE369" t="s">
        <v>900</v>
      </c>
      <c r="BF369" t="s">
        <v>197</v>
      </c>
      <c r="BJ369" t="s">
        <v>205</v>
      </c>
      <c r="BK369" t="s">
        <v>206</v>
      </c>
      <c r="BL369" t="s">
        <v>194</v>
      </c>
      <c r="BO369" t="s">
        <v>200</v>
      </c>
      <c r="BP369" t="s">
        <v>200</v>
      </c>
      <c r="BQ369" t="s">
        <v>280</v>
      </c>
      <c r="BR369" t="s">
        <v>232</v>
      </c>
      <c r="BT369" t="s">
        <v>197</v>
      </c>
      <c r="BV369" t="s">
        <v>233</v>
      </c>
      <c r="CA369" t="s">
        <v>194</v>
      </c>
      <c r="CB369" t="s">
        <v>214</v>
      </c>
      <c r="CF369" t="s">
        <v>215</v>
      </c>
      <c r="CH369" t="s">
        <v>214</v>
      </c>
      <c r="CI369" t="s">
        <v>214</v>
      </c>
      <c r="CJ369" t="s">
        <v>214</v>
      </c>
      <c r="CP369" t="s">
        <v>214</v>
      </c>
      <c r="CS369" t="s">
        <v>216</v>
      </c>
      <c r="CV369" t="s">
        <v>214</v>
      </c>
      <c r="CW369" t="s">
        <v>214</v>
      </c>
      <c r="CX369" t="s">
        <v>217</v>
      </c>
      <c r="CY369" t="s">
        <v>214</v>
      </c>
      <c r="DA369" t="s">
        <v>218</v>
      </c>
    </row>
    <row r="370" spans="1:105" x14ac:dyDescent="0.3">
      <c r="A370">
        <v>15409799</v>
      </c>
      <c r="B370">
        <v>5895196</v>
      </c>
      <c r="C370" t="str">
        <f>"100505553991"</f>
        <v>100505553991</v>
      </c>
      <c r="D370" t="s">
        <v>1110</v>
      </c>
      <c r="E370" t="s">
        <v>1111</v>
      </c>
      <c r="F370" t="s">
        <v>805</v>
      </c>
      <c r="G370" s="1">
        <v>40303</v>
      </c>
      <c r="I370" t="s">
        <v>187</v>
      </c>
      <c r="J370" t="s">
        <v>188</v>
      </c>
      <c r="K370" t="s">
        <v>223</v>
      </c>
      <c r="Y370" t="str">
        <f>"2019-06-21T14:25:00"</f>
        <v>2019-06-21T14:25:00</v>
      </c>
      <c r="Z370" t="str">
        <f>"27"</f>
        <v>27</v>
      </c>
      <c r="AA370" t="s">
        <v>190</v>
      </c>
      <c r="AC370" t="s">
        <v>191</v>
      </c>
      <c r="AD370" t="s">
        <v>261</v>
      </c>
      <c r="AE370" t="s">
        <v>227</v>
      </c>
      <c r="AF370" t="s">
        <v>194</v>
      </c>
      <c r="AH370" t="s">
        <v>195</v>
      </c>
      <c r="AI370">
        <v>2</v>
      </c>
      <c r="AJ370" t="s">
        <v>196</v>
      </c>
      <c r="AK370" t="s">
        <v>194</v>
      </c>
      <c r="AL370" t="s">
        <v>197</v>
      </c>
      <c r="AM370" t="s">
        <v>228</v>
      </c>
      <c r="AR370" t="s">
        <v>194</v>
      </c>
      <c r="AS370" t="s">
        <v>199</v>
      </c>
      <c r="AU370" t="s">
        <v>197</v>
      </c>
      <c r="AZ370" t="s">
        <v>194</v>
      </c>
      <c r="BA370" t="s">
        <v>200</v>
      </c>
      <c r="BB370" t="s">
        <v>201</v>
      </c>
      <c r="BD370" t="s">
        <v>200</v>
      </c>
      <c r="BE370" t="s">
        <v>229</v>
      </c>
      <c r="BF370" t="s">
        <v>197</v>
      </c>
      <c r="BG370" t="s">
        <v>230</v>
      </c>
      <c r="BH370" t="s">
        <v>307</v>
      </c>
      <c r="BJ370" t="s">
        <v>205</v>
      </c>
      <c r="BK370" t="s">
        <v>206</v>
      </c>
      <c r="BL370" t="s">
        <v>194</v>
      </c>
      <c r="BO370" t="s">
        <v>216</v>
      </c>
      <c r="BP370" t="s">
        <v>216</v>
      </c>
      <c r="BQ370" t="s">
        <v>731</v>
      </c>
      <c r="BR370" t="s">
        <v>232</v>
      </c>
      <c r="BT370" t="s">
        <v>197</v>
      </c>
      <c r="BV370" t="s">
        <v>233</v>
      </c>
      <c r="CA370" t="s">
        <v>194</v>
      </c>
      <c r="CB370" t="s">
        <v>214</v>
      </c>
      <c r="CF370" t="s">
        <v>215</v>
      </c>
      <c r="CH370" t="s">
        <v>214</v>
      </c>
      <c r="CI370" t="s">
        <v>214</v>
      </c>
      <c r="CJ370" t="s">
        <v>214</v>
      </c>
      <c r="CP370" t="s">
        <v>214</v>
      </c>
      <c r="CS370" t="s">
        <v>216</v>
      </c>
      <c r="CV370" t="s">
        <v>214</v>
      </c>
      <c r="CW370" t="s">
        <v>214</v>
      </c>
      <c r="CX370" t="s">
        <v>217</v>
      </c>
      <c r="CY370" t="s">
        <v>214</v>
      </c>
      <c r="DA370" t="s">
        <v>218</v>
      </c>
    </row>
    <row r="371" spans="1:105" x14ac:dyDescent="0.3">
      <c r="A371">
        <v>15415745</v>
      </c>
      <c r="B371">
        <v>2149130</v>
      </c>
      <c r="C371" t="str">
        <f>"040328651183"</f>
        <v>040328651183</v>
      </c>
      <c r="D371" t="s">
        <v>1112</v>
      </c>
      <c r="E371" t="s">
        <v>235</v>
      </c>
      <c r="F371" t="s">
        <v>485</v>
      </c>
      <c r="G371" s="1">
        <v>38074</v>
      </c>
      <c r="I371" t="s">
        <v>222</v>
      </c>
      <c r="J371" t="s">
        <v>188</v>
      </c>
      <c r="K371" t="s">
        <v>223</v>
      </c>
      <c r="Y371" t="str">
        <f>"2018-11-12T16:33:00"</f>
        <v>2018-11-12T16:33:00</v>
      </c>
      <c r="Z371" t="str">
        <f>"№44"</f>
        <v>№44</v>
      </c>
      <c r="AA371" t="s">
        <v>835</v>
      </c>
      <c r="AB371" t="str">
        <f>"akm_arshalu_novoaleksandrovka@mail.ru"</f>
        <v>akm_arshalu_novoaleksandrovka@mail.ru</v>
      </c>
      <c r="AC371" t="s">
        <v>237</v>
      </c>
      <c r="AD371" t="s">
        <v>192</v>
      </c>
      <c r="AE371" t="s">
        <v>227</v>
      </c>
      <c r="AF371" t="s">
        <v>194</v>
      </c>
      <c r="AH371" t="s">
        <v>195</v>
      </c>
      <c r="AI371">
        <v>2</v>
      </c>
      <c r="AJ371" t="s">
        <v>196</v>
      </c>
      <c r="AK371" t="s">
        <v>194</v>
      </c>
      <c r="AL371" t="s">
        <v>197</v>
      </c>
      <c r="AM371" t="s">
        <v>811</v>
      </c>
      <c r="AQ371" t="str">
        <f>"2020-11-11T13:37:50"</f>
        <v>2020-11-11T13:37:50</v>
      </c>
      <c r="AR371" t="s">
        <v>214</v>
      </c>
      <c r="AU371" t="s">
        <v>197</v>
      </c>
      <c r="AZ371" t="s">
        <v>194</v>
      </c>
      <c r="BA371" t="s">
        <v>200</v>
      </c>
      <c r="BB371" t="s">
        <v>201</v>
      </c>
      <c r="BD371" t="s">
        <v>200</v>
      </c>
      <c r="BE371" t="s">
        <v>202</v>
      </c>
      <c r="BF371" t="s">
        <v>197</v>
      </c>
      <c r="BG371" t="s">
        <v>290</v>
      </c>
      <c r="BH371" t="s">
        <v>1113</v>
      </c>
      <c r="BJ371" t="s">
        <v>205</v>
      </c>
      <c r="BK371" t="s">
        <v>206</v>
      </c>
      <c r="BL371" t="s">
        <v>194</v>
      </c>
      <c r="BO371" t="s">
        <v>200</v>
      </c>
      <c r="BP371" t="s">
        <v>200</v>
      </c>
      <c r="BR371" t="s">
        <v>232</v>
      </c>
      <c r="BT371" t="s">
        <v>197</v>
      </c>
      <c r="BV371" t="s">
        <v>233</v>
      </c>
      <c r="CA371" t="s">
        <v>194</v>
      </c>
      <c r="CB371" t="s">
        <v>214</v>
      </c>
      <c r="CF371" t="s">
        <v>215</v>
      </c>
      <c r="CH371" t="s">
        <v>214</v>
      </c>
      <c r="CI371" t="s">
        <v>214</v>
      </c>
      <c r="CJ371" t="s">
        <v>214</v>
      </c>
      <c r="CP371" t="s">
        <v>214</v>
      </c>
      <c r="CS371" t="s">
        <v>216</v>
      </c>
      <c r="CV371" t="s">
        <v>214</v>
      </c>
      <c r="CW371" t="s">
        <v>214</v>
      </c>
      <c r="CX371" t="s">
        <v>217</v>
      </c>
      <c r="CY371" t="s">
        <v>214</v>
      </c>
      <c r="DA371" t="s">
        <v>218</v>
      </c>
    </row>
    <row r="372" spans="1:105" x14ac:dyDescent="0.3">
      <c r="A372">
        <v>16081419</v>
      </c>
      <c r="B372">
        <v>2726192</v>
      </c>
      <c r="C372" t="str">
        <f>"131011505331"</f>
        <v>131011505331</v>
      </c>
      <c r="D372" t="s">
        <v>1114</v>
      </c>
      <c r="E372" t="s">
        <v>1115</v>
      </c>
      <c r="F372" t="s">
        <v>1116</v>
      </c>
      <c r="G372" s="1">
        <v>41558</v>
      </c>
      <c r="I372" t="s">
        <v>187</v>
      </c>
      <c r="J372" t="s">
        <v>188</v>
      </c>
      <c r="K372" t="s">
        <v>223</v>
      </c>
      <c r="Y372" t="str">
        <f>"2020-07-20T00:00:00"</f>
        <v>2020-07-20T00:00:00</v>
      </c>
      <c r="Z372" t="str">
        <f>"13"</f>
        <v>13</v>
      </c>
      <c r="AA372" t="s">
        <v>190</v>
      </c>
      <c r="AC372" t="s">
        <v>225</v>
      </c>
      <c r="AD372" t="s">
        <v>815</v>
      </c>
      <c r="AE372" t="s">
        <v>193</v>
      </c>
      <c r="AF372" t="s">
        <v>194</v>
      </c>
      <c r="AH372" t="s">
        <v>195</v>
      </c>
      <c r="AI372">
        <v>1</v>
      </c>
      <c r="AJ372" t="s">
        <v>196</v>
      </c>
      <c r="AK372" t="s">
        <v>194</v>
      </c>
      <c r="AL372" t="s">
        <v>197</v>
      </c>
      <c r="AM372" t="s">
        <v>198</v>
      </c>
      <c r="AR372" t="s">
        <v>194</v>
      </c>
      <c r="AS372" t="s">
        <v>199</v>
      </c>
      <c r="AU372" t="s">
        <v>197</v>
      </c>
      <c r="AZ372" t="s">
        <v>194</v>
      </c>
      <c r="BB372" t="s">
        <v>201</v>
      </c>
      <c r="BD372" t="s">
        <v>200</v>
      </c>
      <c r="BE372" t="s">
        <v>229</v>
      </c>
      <c r="BF372" t="s">
        <v>197</v>
      </c>
      <c r="BG372" t="s">
        <v>230</v>
      </c>
      <c r="BH372" t="s">
        <v>307</v>
      </c>
      <c r="BJ372" t="s">
        <v>205</v>
      </c>
      <c r="BK372" t="s">
        <v>206</v>
      </c>
      <c r="BL372" t="s">
        <v>194</v>
      </c>
      <c r="BO372" t="s">
        <v>200</v>
      </c>
      <c r="BP372" t="s">
        <v>200</v>
      </c>
      <c r="BQ372" t="s">
        <v>280</v>
      </c>
      <c r="BR372" t="s">
        <v>232</v>
      </c>
      <c r="BT372" t="s">
        <v>197</v>
      </c>
      <c r="BV372" t="s">
        <v>233</v>
      </c>
      <c r="CA372" t="s">
        <v>194</v>
      </c>
      <c r="CB372" t="s">
        <v>214</v>
      </c>
      <c r="CF372" t="s">
        <v>215</v>
      </c>
      <c r="CH372" t="s">
        <v>214</v>
      </c>
      <c r="CI372" t="s">
        <v>214</v>
      </c>
      <c r="CJ372" t="s">
        <v>214</v>
      </c>
      <c r="CP372" t="s">
        <v>214</v>
      </c>
      <c r="CS372" t="s">
        <v>216</v>
      </c>
      <c r="CV372" t="s">
        <v>214</v>
      </c>
      <c r="CW372" t="s">
        <v>214</v>
      </c>
      <c r="CX372" t="s">
        <v>217</v>
      </c>
      <c r="CY372" t="s">
        <v>214</v>
      </c>
      <c r="DA372" t="s">
        <v>218</v>
      </c>
    </row>
    <row r="373" spans="1:105" x14ac:dyDescent="0.3">
      <c r="A373">
        <v>15450003</v>
      </c>
      <c r="B373">
        <v>5880982</v>
      </c>
      <c r="C373" t="str">
        <f>"130502602506"</f>
        <v>130502602506</v>
      </c>
      <c r="D373" t="s">
        <v>866</v>
      </c>
      <c r="E373" t="s">
        <v>1117</v>
      </c>
      <c r="F373" t="s">
        <v>1118</v>
      </c>
      <c r="G373" s="1">
        <v>41396</v>
      </c>
      <c r="I373" t="s">
        <v>222</v>
      </c>
      <c r="J373" t="s">
        <v>188</v>
      </c>
      <c r="K373" t="s">
        <v>498</v>
      </c>
      <c r="Y373" t="str">
        <f>"2020-06-15T00:00:00"</f>
        <v>2020-06-15T00:00:00</v>
      </c>
      <c r="Z373" t="str">
        <f>"10"</f>
        <v>10</v>
      </c>
      <c r="AA373" t="s">
        <v>224</v>
      </c>
      <c r="AC373" t="s">
        <v>225</v>
      </c>
      <c r="AD373" t="s">
        <v>815</v>
      </c>
      <c r="AE373" t="s">
        <v>193</v>
      </c>
      <c r="AF373" t="s">
        <v>194</v>
      </c>
      <c r="AH373" t="s">
        <v>195</v>
      </c>
      <c r="AI373">
        <v>1</v>
      </c>
      <c r="AJ373" t="s">
        <v>196</v>
      </c>
      <c r="AK373" t="s">
        <v>194</v>
      </c>
      <c r="AL373" t="s">
        <v>197</v>
      </c>
      <c r="AM373" t="s">
        <v>198</v>
      </c>
      <c r="AR373" t="s">
        <v>194</v>
      </c>
      <c r="AS373" t="s">
        <v>199</v>
      </c>
      <c r="AU373" t="s">
        <v>197</v>
      </c>
      <c r="AZ373" t="s">
        <v>194</v>
      </c>
      <c r="BA373" t="s">
        <v>200</v>
      </c>
      <c r="BB373" t="s">
        <v>201</v>
      </c>
      <c r="BC373" t="s">
        <v>317</v>
      </c>
      <c r="BD373" t="s">
        <v>200</v>
      </c>
      <c r="BE373" t="s">
        <v>229</v>
      </c>
      <c r="BF373" t="s">
        <v>197</v>
      </c>
      <c r="BG373" t="s">
        <v>230</v>
      </c>
      <c r="BH373" t="s">
        <v>307</v>
      </c>
      <c r="BJ373" t="s">
        <v>205</v>
      </c>
      <c r="BK373" t="s">
        <v>206</v>
      </c>
      <c r="BL373" t="s">
        <v>194</v>
      </c>
      <c r="BO373" t="s">
        <v>216</v>
      </c>
      <c r="BP373" t="s">
        <v>216</v>
      </c>
      <c r="BQ373" t="s">
        <v>286</v>
      </c>
      <c r="BR373" t="s">
        <v>232</v>
      </c>
      <c r="BT373" t="s">
        <v>197</v>
      </c>
      <c r="BV373" t="s">
        <v>233</v>
      </c>
      <c r="CA373" t="s">
        <v>194</v>
      </c>
      <c r="CB373" t="s">
        <v>214</v>
      </c>
      <c r="CF373" t="s">
        <v>215</v>
      </c>
      <c r="CH373" t="s">
        <v>214</v>
      </c>
      <c r="CI373" t="s">
        <v>214</v>
      </c>
      <c r="CJ373" t="s">
        <v>214</v>
      </c>
      <c r="CP373" t="s">
        <v>214</v>
      </c>
      <c r="CS373" t="s">
        <v>216</v>
      </c>
      <c r="CV373" t="s">
        <v>214</v>
      </c>
      <c r="CW373" t="s">
        <v>214</v>
      </c>
      <c r="CX373" t="s">
        <v>217</v>
      </c>
      <c r="CY373" t="s">
        <v>214</v>
      </c>
      <c r="DA373" t="s">
        <v>218</v>
      </c>
    </row>
    <row r="374" spans="1:105" x14ac:dyDescent="0.3">
      <c r="A374">
        <v>15625361</v>
      </c>
      <c r="B374">
        <v>9734586</v>
      </c>
      <c r="C374" t="str">
        <f>"140831601539"</f>
        <v>140831601539</v>
      </c>
      <c r="D374" t="s">
        <v>1119</v>
      </c>
      <c r="E374" t="s">
        <v>723</v>
      </c>
      <c r="F374" t="s">
        <v>670</v>
      </c>
      <c r="G374" s="1">
        <v>41882</v>
      </c>
      <c r="I374" t="s">
        <v>222</v>
      </c>
      <c r="J374" t="s">
        <v>188</v>
      </c>
      <c r="K374" t="s">
        <v>223</v>
      </c>
      <c r="Y374" t="str">
        <f>"2020-07-20T00:00:00"</f>
        <v>2020-07-20T00:00:00</v>
      </c>
      <c r="Z374" t="str">
        <f>"13"</f>
        <v>13</v>
      </c>
      <c r="AA374" t="s">
        <v>190</v>
      </c>
      <c r="AC374" t="s">
        <v>225</v>
      </c>
      <c r="AD374" t="s">
        <v>815</v>
      </c>
      <c r="AE374" t="s">
        <v>227</v>
      </c>
      <c r="AF374" t="s">
        <v>194</v>
      </c>
      <c r="AH374" t="s">
        <v>195</v>
      </c>
      <c r="AI374">
        <v>1</v>
      </c>
      <c r="AJ374" t="s">
        <v>196</v>
      </c>
      <c r="AK374" t="s">
        <v>194</v>
      </c>
      <c r="AL374" t="s">
        <v>197</v>
      </c>
      <c r="AM374" t="s">
        <v>198</v>
      </c>
      <c r="AR374" t="s">
        <v>194</v>
      </c>
      <c r="AS374" t="s">
        <v>199</v>
      </c>
      <c r="AU374" t="s">
        <v>197</v>
      </c>
      <c r="AZ374" t="s">
        <v>194</v>
      </c>
      <c r="BA374" t="s">
        <v>200</v>
      </c>
      <c r="BB374" t="s">
        <v>201</v>
      </c>
      <c r="BD374" t="s">
        <v>200</v>
      </c>
      <c r="BE374" t="s">
        <v>229</v>
      </c>
      <c r="BF374" t="s">
        <v>197</v>
      </c>
      <c r="BG374" t="s">
        <v>230</v>
      </c>
      <c r="BH374" t="s">
        <v>307</v>
      </c>
      <c r="BJ374" t="s">
        <v>205</v>
      </c>
      <c r="BK374" t="s">
        <v>206</v>
      </c>
      <c r="BL374" t="s">
        <v>194</v>
      </c>
      <c r="BO374" t="s">
        <v>200</v>
      </c>
      <c r="BP374" t="s">
        <v>200</v>
      </c>
      <c r="BQ374" t="s">
        <v>280</v>
      </c>
      <c r="BR374" t="s">
        <v>232</v>
      </c>
      <c r="BT374" t="s">
        <v>197</v>
      </c>
      <c r="BV374" t="s">
        <v>471</v>
      </c>
      <c r="BW374" t="s">
        <v>416</v>
      </c>
      <c r="BX374" t="s">
        <v>539</v>
      </c>
      <c r="BY374" t="s">
        <v>534</v>
      </c>
      <c r="BZ374" t="s">
        <v>845</v>
      </c>
      <c r="CA374" t="s">
        <v>194</v>
      </c>
      <c r="CB374" t="s">
        <v>214</v>
      </c>
      <c r="CF374" t="s">
        <v>215</v>
      </c>
      <c r="CH374" t="s">
        <v>214</v>
      </c>
      <c r="CI374" t="s">
        <v>214</v>
      </c>
      <c r="CJ374" t="s">
        <v>214</v>
      </c>
      <c r="CP374" t="s">
        <v>214</v>
      </c>
      <c r="CS374" t="s">
        <v>216</v>
      </c>
      <c r="CV374" t="s">
        <v>214</v>
      </c>
      <c r="CW374" t="s">
        <v>214</v>
      </c>
      <c r="CX374" t="s">
        <v>217</v>
      </c>
      <c r="CY374" t="s">
        <v>214</v>
      </c>
      <c r="DA374" t="s">
        <v>218</v>
      </c>
    </row>
    <row r="375" spans="1:105" x14ac:dyDescent="0.3">
      <c r="A375">
        <v>15625725</v>
      </c>
      <c r="B375">
        <v>6486102</v>
      </c>
      <c r="C375" t="str">
        <f>"130916502828"</f>
        <v>130916502828</v>
      </c>
      <c r="D375" t="s">
        <v>1120</v>
      </c>
      <c r="E375" t="s">
        <v>1121</v>
      </c>
      <c r="F375" t="s">
        <v>1122</v>
      </c>
      <c r="G375" s="1">
        <v>41533</v>
      </c>
      <c r="I375" t="s">
        <v>187</v>
      </c>
      <c r="J375" t="s">
        <v>188</v>
      </c>
      <c r="K375" t="s">
        <v>223</v>
      </c>
      <c r="Y375" t="str">
        <f>"2020-07-20T00:00:00"</f>
        <v>2020-07-20T00:00:00</v>
      </c>
      <c r="Z375" t="str">
        <f>"13"</f>
        <v>13</v>
      </c>
      <c r="AA375" t="s">
        <v>190</v>
      </c>
      <c r="AC375" t="s">
        <v>225</v>
      </c>
      <c r="AD375" t="s">
        <v>815</v>
      </c>
      <c r="AE375" t="s">
        <v>243</v>
      </c>
      <c r="AF375" t="s">
        <v>194</v>
      </c>
      <c r="AH375" t="s">
        <v>195</v>
      </c>
      <c r="AI375">
        <v>1</v>
      </c>
      <c r="AJ375" t="s">
        <v>196</v>
      </c>
      <c r="AK375" t="s">
        <v>194</v>
      </c>
      <c r="AL375" t="s">
        <v>197</v>
      </c>
      <c r="AM375" t="s">
        <v>198</v>
      </c>
      <c r="AR375" t="s">
        <v>194</v>
      </c>
      <c r="AS375" t="s">
        <v>199</v>
      </c>
      <c r="AU375" t="s">
        <v>197</v>
      </c>
      <c r="AZ375" t="s">
        <v>194</v>
      </c>
      <c r="BA375" t="s">
        <v>200</v>
      </c>
      <c r="BB375" t="s">
        <v>201</v>
      </c>
      <c r="BD375" t="s">
        <v>200</v>
      </c>
      <c r="BE375" t="s">
        <v>229</v>
      </c>
      <c r="BF375" t="s">
        <v>197</v>
      </c>
      <c r="BG375" t="s">
        <v>230</v>
      </c>
      <c r="BH375" t="s">
        <v>307</v>
      </c>
      <c r="BJ375" t="s">
        <v>205</v>
      </c>
      <c r="BK375" t="s">
        <v>206</v>
      </c>
      <c r="BL375" t="s">
        <v>194</v>
      </c>
      <c r="BO375" t="s">
        <v>200</v>
      </c>
      <c r="BP375" t="s">
        <v>200</v>
      </c>
      <c r="BQ375" t="s">
        <v>280</v>
      </c>
      <c r="BR375" t="s">
        <v>232</v>
      </c>
      <c r="BT375" t="s">
        <v>197</v>
      </c>
      <c r="BV375" t="s">
        <v>233</v>
      </c>
      <c r="CA375" t="s">
        <v>194</v>
      </c>
      <c r="CB375" t="s">
        <v>214</v>
      </c>
      <c r="CF375" t="s">
        <v>215</v>
      </c>
      <c r="CH375" t="s">
        <v>214</v>
      </c>
      <c r="CI375" t="s">
        <v>214</v>
      </c>
      <c r="CJ375" t="s">
        <v>214</v>
      </c>
      <c r="CP375" t="s">
        <v>214</v>
      </c>
      <c r="CS375" t="s">
        <v>216</v>
      </c>
      <c r="CV375" t="s">
        <v>214</v>
      </c>
      <c r="CW375" t="s">
        <v>214</v>
      </c>
      <c r="CX375" t="s">
        <v>217</v>
      </c>
      <c r="CY375" t="s">
        <v>214</v>
      </c>
      <c r="DA375" t="s">
        <v>218</v>
      </c>
    </row>
    <row r="376" spans="1:105" x14ac:dyDescent="0.3">
      <c r="A376">
        <v>15641932</v>
      </c>
      <c r="B376">
        <v>6262960</v>
      </c>
      <c r="C376" t="str">
        <f>"100812552417"</f>
        <v>100812552417</v>
      </c>
      <c r="D376" t="s">
        <v>1123</v>
      </c>
      <c r="E376" t="s">
        <v>1124</v>
      </c>
      <c r="F376" t="s">
        <v>529</v>
      </c>
      <c r="G376" s="1">
        <v>40402</v>
      </c>
      <c r="I376" t="s">
        <v>187</v>
      </c>
      <c r="J376" t="s">
        <v>188</v>
      </c>
      <c r="K376" t="s">
        <v>223</v>
      </c>
      <c r="Y376" t="str">
        <f>"2020-08-21T00:00:00"</f>
        <v>2020-08-21T00:00:00</v>
      </c>
      <c r="Z376" t="str">
        <f>"18"</f>
        <v>18</v>
      </c>
      <c r="AA376" t="s">
        <v>190</v>
      </c>
      <c r="AC376" t="s">
        <v>225</v>
      </c>
      <c r="AD376" t="s">
        <v>261</v>
      </c>
      <c r="AE376" t="s">
        <v>227</v>
      </c>
      <c r="AF376" t="s">
        <v>194</v>
      </c>
      <c r="AH376" t="s">
        <v>195</v>
      </c>
      <c r="AI376">
        <v>2</v>
      </c>
      <c r="AJ376" t="s">
        <v>196</v>
      </c>
      <c r="AK376" t="s">
        <v>194</v>
      </c>
      <c r="AL376" t="s">
        <v>197</v>
      </c>
      <c r="AM376" t="s">
        <v>198</v>
      </c>
      <c r="AR376" t="s">
        <v>194</v>
      </c>
      <c r="AS376" t="s">
        <v>199</v>
      </c>
      <c r="AU376" t="s">
        <v>197</v>
      </c>
      <c r="AZ376" t="s">
        <v>194</v>
      </c>
      <c r="BB376" t="s">
        <v>201</v>
      </c>
      <c r="BD376" t="s">
        <v>200</v>
      </c>
      <c r="BE376" t="s">
        <v>229</v>
      </c>
      <c r="BF376" t="s">
        <v>197</v>
      </c>
      <c r="BG376" t="s">
        <v>262</v>
      </c>
      <c r="BH376" t="s">
        <v>307</v>
      </c>
      <c r="BJ376" t="s">
        <v>205</v>
      </c>
      <c r="BK376" t="s">
        <v>206</v>
      </c>
      <c r="BL376" t="s">
        <v>194</v>
      </c>
      <c r="BO376" t="s">
        <v>216</v>
      </c>
      <c r="BP376" t="s">
        <v>216</v>
      </c>
      <c r="BQ376" t="s">
        <v>1125</v>
      </c>
      <c r="BR376" t="s">
        <v>232</v>
      </c>
      <c r="BT376" t="s">
        <v>197</v>
      </c>
      <c r="BV376" t="s">
        <v>415</v>
      </c>
      <c r="BW376" t="s">
        <v>416</v>
      </c>
      <c r="BX376" t="s">
        <v>211</v>
      </c>
      <c r="BY376" t="s">
        <v>212</v>
      </c>
      <c r="BZ376" t="s">
        <v>1126</v>
      </c>
      <c r="CA376" t="s">
        <v>194</v>
      </c>
      <c r="CB376" t="s">
        <v>214</v>
      </c>
      <c r="CF376" t="s">
        <v>215</v>
      </c>
      <c r="CH376" t="s">
        <v>214</v>
      </c>
      <c r="CI376" t="s">
        <v>214</v>
      </c>
      <c r="CJ376" t="s">
        <v>214</v>
      </c>
      <c r="CP376" t="s">
        <v>214</v>
      </c>
      <c r="CS376" t="s">
        <v>216</v>
      </c>
      <c r="CV376" t="s">
        <v>214</v>
      </c>
      <c r="CW376" t="s">
        <v>214</v>
      </c>
      <c r="CX376" t="s">
        <v>217</v>
      </c>
      <c r="CY376" t="s">
        <v>214</v>
      </c>
      <c r="DA376" t="s">
        <v>218</v>
      </c>
    </row>
    <row r="377" spans="1:105" x14ac:dyDescent="0.3">
      <c r="A377">
        <v>13793074</v>
      </c>
      <c r="B377">
        <v>956009</v>
      </c>
      <c r="C377" t="str">
        <f>"120819504994"</f>
        <v>120819504994</v>
      </c>
      <c r="D377" t="s">
        <v>1127</v>
      </c>
      <c r="E377" t="s">
        <v>434</v>
      </c>
      <c r="F377" t="s">
        <v>720</v>
      </c>
      <c r="G377" s="1">
        <v>41140</v>
      </c>
      <c r="I377" t="s">
        <v>187</v>
      </c>
      <c r="J377" t="s">
        <v>188</v>
      </c>
      <c r="K377" t="s">
        <v>345</v>
      </c>
      <c r="Y377" t="str">
        <f>"2019-08-21T00:00:00"</f>
        <v>2019-08-21T00:00:00</v>
      </c>
      <c r="Z377" t="str">
        <f>"31"</f>
        <v>31</v>
      </c>
      <c r="AA377" t="s">
        <v>190</v>
      </c>
      <c r="AC377" t="s">
        <v>191</v>
      </c>
      <c r="AD377" t="s">
        <v>615</v>
      </c>
      <c r="AE377" t="s">
        <v>243</v>
      </c>
      <c r="AF377" t="s">
        <v>194</v>
      </c>
      <c r="AH377" t="s">
        <v>195</v>
      </c>
      <c r="AI377">
        <v>1</v>
      </c>
      <c r="AJ377" t="s">
        <v>196</v>
      </c>
      <c r="AK377" t="s">
        <v>194</v>
      </c>
      <c r="AL377" t="s">
        <v>197</v>
      </c>
      <c r="AM377" t="s">
        <v>228</v>
      </c>
      <c r="AR377" t="s">
        <v>194</v>
      </c>
      <c r="AS377" t="s">
        <v>199</v>
      </c>
      <c r="AU377" t="s">
        <v>197</v>
      </c>
      <c r="AZ377" t="s">
        <v>194</v>
      </c>
      <c r="BA377" t="s">
        <v>200</v>
      </c>
      <c r="BB377" t="s">
        <v>201</v>
      </c>
      <c r="BD377" t="s">
        <v>200</v>
      </c>
      <c r="BE377" t="s">
        <v>202</v>
      </c>
      <c r="BF377" t="s">
        <v>197</v>
      </c>
      <c r="BG377" t="s">
        <v>230</v>
      </c>
      <c r="BH377" t="s">
        <v>420</v>
      </c>
      <c r="BJ377" t="s">
        <v>205</v>
      </c>
      <c r="BK377" t="s">
        <v>206</v>
      </c>
      <c r="BL377" t="s">
        <v>194</v>
      </c>
      <c r="BO377" t="s">
        <v>216</v>
      </c>
      <c r="BP377" t="s">
        <v>216</v>
      </c>
      <c r="BQ377" s="3">
        <v>45566</v>
      </c>
      <c r="BR377" t="s">
        <v>232</v>
      </c>
      <c r="BT377" t="s">
        <v>197</v>
      </c>
      <c r="BV377" t="s">
        <v>233</v>
      </c>
      <c r="CA377" t="s">
        <v>194</v>
      </c>
      <c r="CB377" t="s">
        <v>214</v>
      </c>
      <c r="CF377" t="s">
        <v>215</v>
      </c>
      <c r="CH377" t="s">
        <v>214</v>
      </c>
      <c r="CI377" t="s">
        <v>214</v>
      </c>
      <c r="CJ377" t="s">
        <v>214</v>
      </c>
      <c r="CP377" t="s">
        <v>214</v>
      </c>
      <c r="CS377" t="s">
        <v>216</v>
      </c>
      <c r="CV377" t="s">
        <v>214</v>
      </c>
      <c r="CW377" t="s">
        <v>214</v>
      </c>
      <c r="CX377" t="s">
        <v>217</v>
      </c>
      <c r="CY377" t="s">
        <v>214</v>
      </c>
      <c r="DA377" t="s">
        <v>218</v>
      </c>
    </row>
    <row r="378" spans="1:105" x14ac:dyDescent="0.3">
      <c r="A378">
        <v>16409887</v>
      </c>
      <c r="B378">
        <v>10076</v>
      </c>
      <c r="C378" t="str">
        <f>"101112602058"</f>
        <v>101112602058</v>
      </c>
      <c r="D378" t="s">
        <v>1128</v>
      </c>
      <c r="E378" t="s">
        <v>1129</v>
      </c>
      <c r="F378" t="s">
        <v>268</v>
      </c>
      <c r="G378" s="1">
        <v>40494</v>
      </c>
      <c r="I378" t="s">
        <v>222</v>
      </c>
      <c r="J378" t="s">
        <v>188</v>
      </c>
      <c r="K378" t="s">
        <v>223</v>
      </c>
      <c r="Y378" t="str">
        <f>"2020-09-15T00:00:00"</f>
        <v>2020-09-15T00:00:00</v>
      </c>
      <c r="Z378" t="str">
        <f>"27"</f>
        <v>27</v>
      </c>
      <c r="AA378" t="s">
        <v>190</v>
      </c>
      <c r="AC378" t="s">
        <v>191</v>
      </c>
      <c r="AD378" t="s">
        <v>261</v>
      </c>
      <c r="AE378" t="s">
        <v>243</v>
      </c>
      <c r="AF378" t="s">
        <v>194</v>
      </c>
      <c r="AH378" t="s">
        <v>195</v>
      </c>
      <c r="AI378">
        <v>3</v>
      </c>
      <c r="AJ378" t="s">
        <v>196</v>
      </c>
      <c r="AK378" t="s">
        <v>194</v>
      </c>
      <c r="AL378" t="s">
        <v>197</v>
      </c>
      <c r="AM378" t="s">
        <v>198</v>
      </c>
      <c r="AR378" t="s">
        <v>194</v>
      </c>
      <c r="AS378" t="s">
        <v>199</v>
      </c>
      <c r="AU378" t="s">
        <v>197</v>
      </c>
      <c r="AZ378" t="s">
        <v>194</v>
      </c>
      <c r="BB378" t="s">
        <v>201</v>
      </c>
      <c r="BE378" t="s">
        <v>229</v>
      </c>
      <c r="BF378" t="s">
        <v>197</v>
      </c>
      <c r="BG378" t="s">
        <v>1130</v>
      </c>
      <c r="BH378" t="s">
        <v>270</v>
      </c>
      <c r="BJ378" t="s">
        <v>205</v>
      </c>
      <c r="BK378" t="s">
        <v>206</v>
      </c>
      <c r="BL378" t="s">
        <v>194</v>
      </c>
      <c r="BO378" t="s">
        <v>216</v>
      </c>
      <c r="BP378" t="s">
        <v>216</v>
      </c>
      <c r="BQ378" t="s">
        <v>1125</v>
      </c>
      <c r="BR378" t="s">
        <v>232</v>
      </c>
      <c r="BT378" t="s">
        <v>197</v>
      </c>
      <c r="BV378" t="s">
        <v>233</v>
      </c>
      <c r="CA378" t="s">
        <v>194</v>
      </c>
      <c r="CB378" t="s">
        <v>214</v>
      </c>
      <c r="CF378" t="s">
        <v>215</v>
      </c>
      <c r="CH378" t="s">
        <v>214</v>
      </c>
      <c r="CI378" t="s">
        <v>214</v>
      </c>
      <c r="CJ378" t="s">
        <v>214</v>
      </c>
      <c r="CP378" t="s">
        <v>214</v>
      </c>
      <c r="CS378" t="s">
        <v>216</v>
      </c>
      <c r="CV378" t="s">
        <v>214</v>
      </c>
      <c r="CW378" t="s">
        <v>214</v>
      </c>
      <c r="CX378" t="s">
        <v>217</v>
      </c>
      <c r="CY378" t="s">
        <v>214</v>
      </c>
      <c r="DA378" t="s">
        <v>218</v>
      </c>
    </row>
    <row r="379" spans="1:105" x14ac:dyDescent="0.3">
      <c r="A379">
        <v>16425166</v>
      </c>
      <c r="B379">
        <v>6578134</v>
      </c>
      <c r="C379" t="str">
        <f>"140913602374"</f>
        <v>140913602374</v>
      </c>
      <c r="D379" t="s">
        <v>1131</v>
      </c>
      <c r="E379" t="s">
        <v>1132</v>
      </c>
      <c r="F379" t="s">
        <v>1133</v>
      </c>
      <c r="G379" s="1">
        <v>41895</v>
      </c>
      <c r="I379" t="s">
        <v>222</v>
      </c>
      <c r="J379" t="s">
        <v>188</v>
      </c>
      <c r="K379" t="s">
        <v>189</v>
      </c>
      <c r="Y379" t="str">
        <f>"2020-07-22T00:00:00"</f>
        <v>2020-07-22T00:00:00</v>
      </c>
      <c r="Z379" t="str">
        <f>"19"</f>
        <v>19</v>
      </c>
      <c r="AA379" t="s">
        <v>190</v>
      </c>
      <c r="AC379" t="s">
        <v>191</v>
      </c>
      <c r="AD379" t="s">
        <v>815</v>
      </c>
      <c r="AE379" t="s">
        <v>243</v>
      </c>
      <c r="AF379" t="s">
        <v>194</v>
      </c>
      <c r="AH379" t="s">
        <v>195</v>
      </c>
      <c r="AI379">
        <v>1</v>
      </c>
      <c r="AJ379" t="s">
        <v>196</v>
      </c>
      <c r="AK379" t="s">
        <v>194</v>
      </c>
      <c r="AL379" t="s">
        <v>197</v>
      </c>
      <c r="AM379" t="s">
        <v>1134</v>
      </c>
      <c r="AR379" t="s">
        <v>194</v>
      </c>
      <c r="AS379" t="s">
        <v>199</v>
      </c>
      <c r="AU379" t="s">
        <v>197</v>
      </c>
      <c r="AZ379" t="s">
        <v>194</v>
      </c>
      <c r="BB379" t="s">
        <v>201</v>
      </c>
      <c r="BE379" t="s">
        <v>229</v>
      </c>
      <c r="BF379" t="s">
        <v>197</v>
      </c>
      <c r="BG379" t="s">
        <v>230</v>
      </c>
      <c r="BH379" t="s">
        <v>307</v>
      </c>
      <c r="BJ379" t="s">
        <v>205</v>
      </c>
      <c r="BK379" t="s">
        <v>206</v>
      </c>
      <c r="BL379" t="s">
        <v>194</v>
      </c>
      <c r="BO379" t="s">
        <v>200</v>
      </c>
      <c r="BP379" t="s">
        <v>200</v>
      </c>
      <c r="BQ379" t="s">
        <v>286</v>
      </c>
      <c r="BR379" t="s">
        <v>232</v>
      </c>
      <c r="BT379" t="s">
        <v>197</v>
      </c>
      <c r="BV379" t="s">
        <v>233</v>
      </c>
      <c r="CA379" t="s">
        <v>194</v>
      </c>
      <c r="CB379" t="s">
        <v>214</v>
      </c>
      <c r="CF379" t="s">
        <v>215</v>
      </c>
      <c r="CH379" t="s">
        <v>214</v>
      </c>
      <c r="CI379" t="s">
        <v>214</v>
      </c>
      <c r="CJ379" t="s">
        <v>214</v>
      </c>
      <c r="CP379" t="s">
        <v>214</v>
      </c>
      <c r="CS379" t="s">
        <v>216</v>
      </c>
      <c r="CV379" t="s">
        <v>214</v>
      </c>
      <c r="CW379" t="s">
        <v>214</v>
      </c>
      <c r="CX379" t="s">
        <v>217</v>
      </c>
      <c r="CY379" t="s">
        <v>214</v>
      </c>
      <c r="DA379" t="s">
        <v>218</v>
      </c>
    </row>
    <row r="380" spans="1:105" x14ac:dyDescent="0.3">
      <c r="A380">
        <v>13793418</v>
      </c>
      <c r="B380">
        <v>2219203</v>
      </c>
      <c r="C380" t="str">
        <f>"130406600558"</f>
        <v>130406600558</v>
      </c>
      <c r="D380" t="s">
        <v>930</v>
      </c>
      <c r="E380" t="s">
        <v>368</v>
      </c>
      <c r="F380" t="s">
        <v>931</v>
      </c>
      <c r="G380" s="1">
        <v>41370</v>
      </c>
      <c r="I380" t="s">
        <v>222</v>
      </c>
      <c r="J380" t="s">
        <v>188</v>
      </c>
      <c r="K380" t="s">
        <v>189</v>
      </c>
      <c r="Y380" t="str">
        <f>"2019-08-21T00:00:00"</f>
        <v>2019-08-21T00:00:00</v>
      </c>
      <c r="Z380" t="str">
        <f>"№31"</f>
        <v>№31</v>
      </c>
      <c r="AA380" t="s">
        <v>190</v>
      </c>
      <c r="AC380" t="s">
        <v>191</v>
      </c>
      <c r="AD380" t="s">
        <v>615</v>
      </c>
      <c r="AE380" t="s">
        <v>413</v>
      </c>
      <c r="AF380" t="s">
        <v>194</v>
      </c>
      <c r="AH380" t="s">
        <v>195</v>
      </c>
      <c r="AI380">
        <v>1</v>
      </c>
      <c r="AJ380" t="s">
        <v>196</v>
      </c>
      <c r="AK380" t="s">
        <v>194</v>
      </c>
      <c r="AL380" t="s">
        <v>197</v>
      </c>
      <c r="AM380" t="s">
        <v>228</v>
      </c>
      <c r="AR380" t="s">
        <v>194</v>
      </c>
      <c r="AS380" t="s">
        <v>199</v>
      </c>
      <c r="AU380" t="s">
        <v>197</v>
      </c>
      <c r="AZ380" t="s">
        <v>194</v>
      </c>
      <c r="BA380" t="s">
        <v>200</v>
      </c>
      <c r="BB380" t="s">
        <v>201</v>
      </c>
      <c r="BD380" t="s">
        <v>200</v>
      </c>
      <c r="BE380" t="s">
        <v>244</v>
      </c>
      <c r="BF380" t="s">
        <v>197</v>
      </c>
      <c r="BG380" t="s">
        <v>238</v>
      </c>
      <c r="BH380">
        <v>5</v>
      </c>
      <c r="BJ380" t="s">
        <v>205</v>
      </c>
      <c r="BK380" t="s">
        <v>206</v>
      </c>
      <c r="BL380" t="s">
        <v>194</v>
      </c>
      <c r="BO380" t="s">
        <v>216</v>
      </c>
      <c r="BP380" t="s">
        <v>216</v>
      </c>
      <c r="BQ380" s="3">
        <v>45566</v>
      </c>
      <c r="BR380" t="s">
        <v>232</v>
      </c>
      <c r="BT380" t="s">
        <v>197</v>
      </c>
      <c r="BV380" t="s">
        <v>233</v>
      </c>
      <c r="CA380" t="s">
        <v>194</v>
      </c>
      <c r="CB380" t="s">
        <v>214</v>
      </c>
      <c r="CF380" t="s">
        <v>215</v>
      </c>
      <c r="CH380" t="s">
        <v>214</v>
      </c>
      <c r="CI380" t="s">
        <v>214</v>
      </c>
      <c r="CJ380" t="s">
        <v>214</v>
      </c>
      <c r="CP380" t="s">
        <v>214</v>
      </c>
      <c r="CS380" t="s">
        <v>216</v>
      </c>
      <c r="CV380" t="s">
        <v>214</v>
      </c>
      <c r="CW380" t="s">
        <v>214</v>
      </c>
      <c r="CX380" t="s">
        <v>217</v>
      </c>
      <c r="CY380" t="s">
        <v>214</v>
      </c>
      <c r="DA380" t="s">
        <v>218</v>
      </c>
    </row>
    <row r="381" spans="1:105" x14ac:dyDescent="0.3">
      <c r="A381">
        <v>13797988</v>
      </c>
      <c r="B381">
        <v>618389</v>
      </c>
      <c r="C381" t="str">
        <f>"120814501596"</f>
        <v>120814501596</v>
      </c>
      <c r="D381" t="s">
        <v>1135</v>
      </c>
      <c r="E381" t="s">
        <v>913</v>
      </c>
      <c r="F381" t="s">
        <v>435</v>
      </c>
      <c r="G381" s="1">
        <v>41135</v>
      </c>
      <c r="I381" t="s">
        <v>187</v>
      </c>
      <c r="J381" t="s">
        <v>188</v>
      </c>
      <c r="K381" t="s">
        <v>345</v>
      </c>
      <c r="Y381" t="str">
        <f>"2019-08-21T00:00:00"</f>
        <v>2019-08-21T00:00:00</v>
      </c>
      <c r="Z381" t="str">
        <f>"31"</f>
        <v>31</v>
      </c>
      <c r="AA381" t="s">
        <v>190</v>
      </c>
      <c r="AC381" t="s">
        <v>191</v>
      </c>
      <c r="AD381" t="s">
        <v>615</v>
      </c>
      <c r="AE381" t="s">
        <v>243</v>
      </c>
      <c r="AF381" t="s">
        <v>194</v>
      </c>
      <c r="AH381" t="s">
        <v>195</v>
      </c>
      <c r="AI381">
        <v>1</v>
      </c>
      <c r="AJ381" t="s">
        <v>196</v>
      </c>
      <c r="AK381" t="s">
        <v>194</v>
      </c>
      <c r="AL381" t="s">
        <v>197</v>
      </c>
      <c r="AM381" t="s">
        <v>228</v>
      </c>
      <c r="AR381" t="s">
        <v>194</v>
      </c>
      <c r="AS381" t="s">
        <v>199</v>
      </c>
      <c r="AU381" t="s">
        <v>197</v>
      </c>
      <c r="AZ381" t="s">
        <v>194</v>
      </c>
      <c r="BA381" t="s">
        <v>200</v>
      </c>
      <c r="BB381" t="s">
        <v>201</v>
      </c>
      <c r="BD381" t="s">
        <v>200</v>
      </c>
      <c r="BE381" t="s">
        <v>244</v>
      </c>
      <c r="BF381" t="s">
        <v>197</v>
      </c>
      <c r="BG381" t="s">
        <v>238</v>
      </c>
      <c r="BH381">
        <v>5</v>
      </c>
      <c r="BJ381" t="s">
        <v>205</v>
      </c>
      <c r="BK381" t="s">
        <v>206</v>
      </c>
      <c r="BL381" t="s">
        <v>194</v>
      </c>
      <c r="BO381" t="s">
        <v>216</v>
      </c>
      <c r="BP381" t="s">
        <v>216</v>
      </c>
      <c r="BQ381" s="3">
        <v>45566</v>
      </c>
      <c r="BR381" t="s">
        <v>232</v>
      </c>
      <c r="BT381" t="s">
        <v>197</v>
      </c>
      <c r="BV381" t="s">
        <v>233</v>
      </c>
      <c r="CA381" t="s">
        <v>194</v>
      </c>
      <c r="CB381" t="s">
        <v>214</v>
      </c>
      <c r="CF381" t="s">
        <v>215</v>
      </c>
      <c r="CH381" t="s">
        <v>214</v>
      </c>
      <c r="CI381" t="s">
        <v>214</v>
      </c>
      <c r="CJ381" t="s">
        <v>214</v>
      </c>
      <c r="CP381" t="s">
        <v>214</v>
      </c>
      <c r="CS381" t="s">
        <v>216</v>
      </c>
      <c r="CV381" t="s">
        <v>214</v>
      </c>
      <c r="CW381" t="s">
        <v>214</v>
      </c>
      <c r="CX381" t="s">
        <v>217</v>
      </c>
      <c r="CY381" t="s">
        <v>214</v>
      </c>
      <c r="DA381" t="s">
        <v>218</v>
      </c>
    </row>
    <row r="382" spans="1:105" x14ac:dyDescent="0.3">
      <c r="A382">
        <v>13798115</v>
      </c>
      <c r="B382">
        <v>9126970</v>
      </c>
      <c r="C382" t="str">
        <f>"120523501920"</f>
        <v>120523501920</v>
      </c>
      <c r="D382" t="s">
        <v>462</v>
      </c>
      <c r="E382" t="s">
        <v>506</v>
      </c>
      <c r="F382" t="s">
        <v>1136</v>
      </c>
      <c r="G382" s="1">
        <v>41052</v>
      </c>
      <c r="I382" t="s">
        <v>187</v>
      </c>
      <c r="J382" t="s">
        <v>188</v>
      </c>
      <c r="K382" t="s">
        <v>223</v>
      </c>
      <c r="Y382" t="str">
        <f>"2019-08-21T00:00:00"</f>
        <v>2019-08-21T00:00:00</v>
      </c>
      <c r="Z382" t="str">
        <f>"31"</f>
        <v>31</v>
      </c>
      <c r="AA382" t="s">
        <v>190</v>
      </c>
      <c r="AC382" t="s">
        <v>191</v>
      </c>
      <c r="AD382" t="s">
        <v>615</v>
      </c>
      <c r="AE382" t="s">
        <v>243</v>
      </c>
      <c r="AF382" t="s">
        <v>194</v>
      </c>
      <c r="AH382" t="s">
        <v>195</v>
      </c>
      <c r="AI382">
        <v>1</v>
      </c>
      <c r="AJ382" t="s">
        <v>196</v>
      </c>
      <c r="AK382" t="s">
        <v>194</v>
      </c>
      <c r="AL382" t="s">
        <v>197</v>
      </c>
      <c r="AM382" t="s">
        <v>228</v>
      </c>
      <c r="AR382" t="s">
        <v>194</v>
      </c>
      <c r="AS382" t="s">
        <v>199</v>
      </c>
      <c r="AU382" t="s">
        <v>197</v>
      </c>
      <c r="AZ382" t="s">
        <v>194</v>
      </c>
      <c r="BA382" t="s">
        <v>200</v>
      </c>
      <c r="BB382" t="s">
        <v>201</v>
      </c>
      <c r="BD382" t="s">
        <v>200</v>
      </c>
      <c r="BE382" t="s">
        <v>244</v>
      </c>
      <c r="BF382" t="s">
        <v>197</v>
      </c>
      <c r="BG382" t="s">
        <v>238</v>
      </c>
      <c r="BH382">
        <v>5</v>
      </c>
      <c r="BJ382" t="s">
        <v>205</v>
      </c>
      <c r="BK382" t="s">
        <v>206</v>
      </c>
      <c r="BL382" t="s">
        <v>194</v>
      </c>
      <c r="BO382" t="s">
        <v>216</v>
      </c>
      <c r="BP382" t="s">
        <v>216</v>
      </c>
      <c r="BQ382" s="3">
        <v>45566</v>
      </c>
      <c r="BR382" t="s">
        <v>232</v>
      </c>
      <c r="BT382" t="s">
        <v>197</v>
      </c>
      <c r="BV382" t="s">
        <v>233</v>
      </c>
      <c r="CA382" t="s">
        <v>194</v>
      </c>
      <c r="CB382" t="s">
        <v>214</v>
      </c>
      <c r="CF382" t="s">
        <v>215</v>
      </c>
      <c r="CH382" t="s">
        <v>214</v>
      </c>
      <c r="CI382" t="s">
        <v>214</v>
      </c>
      <c r="CJ382" t="s">
        <v>214</v>
      </c>
      <c r="CP382" t="s">
        <v>214</v>
      </c>
      <c r="CS382" t="s">
        <v>216</v>
      </c>
      <c r="CV382" t="s">
        <v>214</v>
      </c>
      <c r="CW382" t="s">
        <v>214</v>
      </c>
      <c r="CX382" t="s">
        <v>217</v>
      </c>
      <c r="CY382" t="s">
        <v>214</v>
      </c>
      <c r="DA382" t="s">
        <v>218</v>
      </c>
    </row>
    <row r="383" spans="1:105" x14ac:dyDescent="0.3">
      <c r="A383">
        <v>16579153</v>
      </c>
      <c r="B383">
        <v>956132</v>
      </c>
      <c r="C383" t="str">
        <f>"141214602367"</f>
        <v>141214602367</v>
      </c>
      <c r="D383" t="s">
        <v>1137</v>
      </c>
      <c r="E383" t="s">
        <v>1138</v>
      </c>
      <c r="F383" t="s">
        <v>327</v>
      </c>
      <c r="G383" s="1">
        <v>41987</v>
      </c>
      <c r="I383" t="s">
        <v>222</v>
      </c>
      <c r="J383" t="s">
        <v>188</v>
      </c>
      <c r="K383" t="s">
        <v>223</v>
      </c>
      <c r="Y383" t="str">
        <f>"2020-08-28T00:00:00"</f>
        <v>2020-08-28T00:00:00</v>
      </c>
      <c r="Z383" t="str">
        <f>"20"</f>
        <v>20</v>
      </c>
      <c r="AA383" t="s">
        <v>190</v>
      </c>
      <c r="AC383" t="s">
        <v>225</v>
      </c>
      <c r="AD383" t="s">
        <v>899</v>
      </c>
      <c r="AE383" t="s">
        <v>227</v>
      </c>
      <c r="AF383" t="s">
        <v>194</v>
      </c>
      <c r="AH383" t="s">
        <v>195</v>
      </c>
      <c r="AI383">
        <v>2</v>
      </c>
      <c r="AJ383" t="s">
        <v>196</v>
      </c>
      <c r="AK383" t="s">
        <v>194</v>
      </c>
      <c r="AL383" t="s">
        <v>197</v>
      </c>
      <c r="AM383" t="s">
        <v>198</v>
      </c>
      <c r="AR383" t="s">
        <v>194</v>
      </c>
      <c r="AS383" t="s">
        <v>199</v>
      </c>
      <c r="AU383" t="s">
        <v>197</v>
      </c>
      <c r="AZ383" t="s">
        <v>194</v>
      </c>
      <c r="BB383" t="s">
        <v>201</v>
      </c>
      <c r="BE383" t="s">
        <v>900</v>
      </c>
      <c r="BF383" t="s">
        <v>197</v>
      </c>
      <c r="BJ383" t="s">
        <v>205</v>
      </c>
      <c r="BK383" t="s">
        <v>206</v>
      </c>
      <c r="BL383" t="s">
        <v>194</v>
      </c>
      <c r="BO383" t="s">
        <v>200</v>
      </c>
      <c r="BP383" t="s">
        <v>200</v>
      </c>
      <c r="BQ383" t="s">
        <v>280</v>
      </c>
      <c r="BR383" t="s">
        <v>232</v>
      </c>
      <c r="BT383" t="s">
        <v>197</v>
      </c>
      <c r="BV383" t="s">
        <v>233</v>
      </c>
      <c r="CA383" t="s">
        <v>194</v>
      </c>
      <c r="CB383" t="s">
        <v>214</v>
      </c>
      <c r="CF383" t="s">
        <v>215</v>
      </c>
      <c r="CH383" t="s">
        <v>214</v>
      </c>
      <c r="CI383" t="s">
        <v>214</v>
      </c>
      <c r="CJ383" t="s">
        <v>214</v>
      </c>
      <c r="CP383" t="s">
        <v>214</v>
      </c>
      <c r="CS383" t="s">
        <v>216</v>
      </c>
      <c r="CV383" t="s">
        <v>214</v>
      </c>
      <c r="CW383" t="s">
        <v>214</v>
      </c>
      <c r="CX383" t="s">
        <v>217</v>
      </c>
      <c r="CY383" t="s">
        <v>214</v>
      </c>
      <c r="DA383" t="s">
        <v>218</v>
      </c>
    </row>
    <row r="384" spans="1:105" x14ac:dyDescent="0.3">
      <c r="A384">
        <v>16634711</v>
      </c>
      <c r="B384">
        <v>9042182</v>
      </c>
      <c r="C384" t="str">
        <f>"130912602387"</f>
        <v>130912602387</v>
      </c>
      <c r="D384" t="s">
        <v>709</v>
      </c>
      <c r="E384" t="s">
        <v>1139</v>
      </c>
      <c r="F384" t="s">
        <v>1140</v>
      </c>
      <c r="G384" s="1">
        <v>41529</v>
      </c>
      <c r="I384" t="s">
        <v>222</v>
      </c>
      <c r="J384" t="s">
        <v>188</v>
      </c>
      <c r="K384" t="s">
        <v>189</v>
      </c>
      <c r="Y384" t="str">
        <f>"2020-09-21T00:00:00"</f>
        <v>2020-09-21T00:00:00</v>
      </c>
      <c r="Z384" t="str">
        <f>"30"</f>
        <v>30</v>
      </c>
      <c r="AA384" t="s">
        <v>190</v>
      </c>
      <c r="AC384" t="s">
        <v>255</v>
      </c>
      <c r="AD384" t="s">
        <v>815</v>
      </c>
      <c r="AE384" t="s">
        <v>193</v>
      </c>
      <c r="AF384" t="s">
        <v>194</v>
      </c>
      <c r="AH384" t="s">
        <v>195</v>
      </c>
      <c r="AI384">
        <v>1</v>
      </c>
      <c r="AJ384" t="s">
        <v>196</v>
      </c>
      <c r="AK384" t="s">
        <v>194</v>
      </c>
      <c r="AL384" t="s">
        <v>197</v>
      </c>
      <c r="AM384" t="s">
        <v>198</v>
      </c>
      <c r="AR384" t="s">
        <v>194</v>
      </c>
      <c r="AS384" t="s">
        <v>199</v>
      </c>
      <c r="AU384" t="s">
        <v>197</v>
      </c>
      <c r="AZ384" t="s">
        <v>194</v>
      </c>
      <c r="BB384" t="s">
        <v>201</v>
      </c>
      <c r="BE384" t="s">
        <v>229</v>
      </c>
      <c r="BF384" t="s">
        <v>197</v>
      </c>
      <c r="BG384" t="s">
        <v>230</v>
      </c>
      <c r="BH384" t="s">
        <v>307</v>
      </c>
      <c r="BJ384" t="s">
        <v>205</v>
      </c>
      <c r="BK384" t="s">
        <v>206</v>
      </c>
      <c r="BL384" t="s">
        <v>194</v>
      </c>
      <c r="BO384" t="s">
        <v>200</v>
      </c>
      <c r="BP384" t="s">
        <v>200</v>
      </c>
      <c r="BQ384" t="s">
        <v>286</v>
      </c>
      <c r="BR384" t="s">
        <v>232</v>
      </c>
      <c r="BT384" t="s">
        <v>197</v>
      </c>
      <c r="BV384" t="s">
        <v>1141</v>
      </c>
      <c r="BW384" t="s">
        <v>1142</v>
      </c>
      <c r="BX384" t="s">
        <v>1143</v>
      </c>
      <c r="BY384" t="s">
        <v>1144</v>
      </c>
      <c r="BZ384" t="s">
        <v>1145</v>
      </c>
      <c r="CA384" t="s">
        <v>194</v>
      </c>
      <c r="CB384" t="s">
        <v>214</v>
      </c>
      <c r="CF384" t="s">
        <v>215</v>
      </c>
      <c r="CH384" t="s">
        <v>214</v>
      </c>
      <c r="CI384" t="s">
        <v>214</v>
      </c>
      <c r="CJ384" t="s">
        <v>214</v>
      </c>
      <c r="CP384" t="s">
        <v>214</v>
      </c>
      <c r="CS384" t="s">
        <v>216</v>
      </c>
      <c r="CV384" t="s">
        <v>214</v>
      </c>
      <c r="CW384" t="s">
        <v>214</v>
      </c>
      <c r="CX384" t="s">
        <v>217</v>
      </c>
      <c r="CY384" t="s">
        <v>214</v>
      </c>
      <c r="DA384" t="s">
        <v>218</v>
      </c>
    </row>
    <row r="385" spans="1:105" x14ac:dyDescent="0.3">
      <c r="A385">
        <v>15663212</v>
      </c>
      <c r="B385">
        <v>9742948</v>
      </c>
      <c r="C385" t="str">
        <f>"130804604475"</f>
        <v>130804604475</v>
      </c>
      <c r="D385" t="s">
        <v>1146</v>
      </c>
      <c r="E385" t="s">
        <v>916</v>
      </c>
      <c r="F385" t="s">
        <v>1147</v>
      </c>
      <c r="G385" s="1">
        <v>41490</v>
      </c>
      <c r="I385" t="s">
        <v>222</v>
      </c>
      <c r="J385" t="s">
        <v>188</v>
      </c>
      <c r="K385" t="s">
        <v>638</v>
      </c>
      <c r="Y385" t="str">
        <f>"2020-08-11T00:00:00"</f>
        <v>2020-08-11T00:00:00</v>
      </c>
      <c r="Z385" t="str">
        <f>"17"</f>
        <v>17</v>
      </c>
      <c r="AA385" t="s">
        <v>190</v>
      </c>
      <c r="AC385" t="s">
        <v>225</v>
      </c>
      <c r="AD385" t="s">
        <v>815</v>
      </c>
      <c r="AE385" t="s">
        <v>227</v>
      </c>
      <c r="AF385" t="s">
        <v>194</v>
      </c>
      <c r="AH385" t="s">
        <v>195</v>
      </c>
      <c r="AI385">
        <v>1</v>
      </c>
      <c r="AJ385" t="s">
        <v>196</v>
      </c>
      <c r="AK385" t="s">
        <v>194</v>
      </c>
      <c r="AL385" t="s">
        <v>197</v>
      </c>
      <c r="AM385" t="s">
        <v>198</v>
      </c>
      <c r="AR385" t="s">
        <v>194</v>
      </c>
      <c r="AS385" t="s">
        <v>199</v>
      </c>
      <c r="AU385" t="s">
        <v>197</v>
      </c>
      <c r="AZ385" t="s">
        <v>194</v>
      </c>
      <c r="BA385" t="s">
        <v>200</v>
      </c>
      <c r="BB385" t="s">
        <v>201</v>
      </c>
      <c r="BD385" t="s">
        <v>200</v>
      </c>
      <c r="BE385" t="s">
        <v>229</v>
      </c>
      <c r="BF385" t="s">
        <v>197</v>
      </c>
      <c r="BG385" t="s">
        <v>230</v>
      </c>
      <c r="BH385" t="s">
        <v>307</v>
      </c>
      <c r="BJ385" t="s">
        <v>205</v>
      </c>
      <c r="BK385" t="s">
        <v>206</v>
      </c>
      <c r="BL385" t="s">
        <v>194</v>
      </c>
      <c r="BO385" t="s">
        <v>216</v>
      </c>
      <c r="BP385" t="s">
        <v>216</v>
      </c>
      <c r="BQ385" t="s">
        <v>280</v>
      </c>
      <c r="BR385" t="s">
        <v>232</v>
      </c>
      <c r="BT385" t="s">
        <v>197</v>
      </c>
      <c r="BV385" t="s">
        <v>233</v>
      </c>
      <c r="CA385" t="s">
        <v>194</v>
      </c>
      <c r="CB385" t="s">
        <v>214</v>
      </c>
      <c r="CF385" t="s">
        <v>215</v>
      </c>
      <c r="CH385" t="s">
        <v>214</v>
      </c>
      <c r="CI385" t="s">
        <v>214</v>
      </c>
      <c r="CJ385" t="s">
        <v>214</v>
      </c>
      <c r="CP385" t="s">
        <v>214</v>
      </c>
      <c r="CS385" t="s">
        <v>216</v>
      </c>
      <c r="CV385" t="s">
        <v>214</v>
      </c>
      <c r="CW385" t="s">
        <v>214</v>
      </c>
      <c r="CX385" t="s">
        <v>217</v>
      </c>
      <c r="CY385" t="s">
        <v>214</v>
      </c>
      <c r="DA385" t="s">
        <v>218</v>
      </c>
    </row>
    <row r="386" spans="1:105" x14ac:dyDescent="0.3">
      <c r="A386">
        <v>16860283</v>
      </c>
      <c r="B386">
        <v>6334255</v>
      </c>
      <c r="C386" t="str">
        <f>"140122504929"</f>
        <v>140122504929</v>
      </c>
      <c r="D386" t="s">
        <v>1148</v>
      </c>
      <c r="E386" t="s">
        <v>552</v>
      </c>
      <c r="F386" t="s">
        <v>1149</v>
      </c>
      <c r="G386" s="1">
        <v>41661</v>
      </c>
      <c r="I386" t="s">
        <v>187</v>
      </c>
      <c r="J386" t="s">
        <v>188</v>
      </c>
      <c r="K386" t="s">
        <v>223</v>
      </c>
      <c r="Y386" t="str">
        <f>"2020-07-21T00:00:00"</f>
        <v>2020-07-21T00:00:00</v>
      </c>
      <c r="Z386" t="str">
        <f>"21"</f>
        <v>21</v>
      </c>
      <c r="AA386" t="s">
        <v>190</v>
      </c>
      <c r="AC386" t="s">
        <v>225</v>
      </c>
      <c r="AD386" t="s">
        <v>815</v>
      </c>
      <c r="AE386" t="s">
        <v>193</v>
      </c>
      <c r="AF386" t="s">
        <v>194</v>
      </c>
      <c r="AH386" t="s">
        <v>195</v>
      </c>
      <c r="AI386">
        <v>1</v>
      </c>
      <c r="AJ386" t="s">
        <v>196</v>
      </c>
      <c r="AK386" t="s">
        <v>194</v>
      </c>
      <c r="AL386" t="s">
        <v>197</v>
      </c>
      <c r="AM386" t="s">
        <v>198</v>
      </c>
      <c r="AR386" t="s">
        <v>194</v>
      </c>
      <c r="AS386" t="s">
        <v>199</v>
      </c>
      <c r="AU386" t="s">
        <v>197</v>
      </c>
      <c r="AZ386" t="s">
        <v>194</v>
      </c>
      <c r="BB386" t="s">
        <v>201</v>
      </c>
      <c r="BE386" t="s">
        <v>229</v>
      </c>
      <c r="BF386" t="s">
        <v>197</v>
      </c>
      <c r="BG386" t="s">
        <v>230</v>
      </c>
      <c r="BH386" t="s">
        <v>231</v>
      </c>
      <c r="BJ386" t="s">
        <v>205</v>
      </c>
      <c r="BK386" t="s">
        <v>206</v>
      </c>
      <c r="BL386" t="s">
        <v>194</v>
      </c>
      <c r="BO386" t="s">
        <v>200</v>
      </c>
      <c r="BP386" t="s">
        <v>200</v>
      </c>
      <c r="BQ386" t="s">
        <v>280</v>
      </c>
      <c r="BR386" t="s">
        <v>232</v>
      </c>
      <c r="BT386" t="s">
        <v>197</v>
      </c>
      <c r="BV386" t="s">
        <v>233</v>
      </c>
      <c r="CA386" t="s">
        <v>194</v>
      </c>
      <c r="CB386" t="s">
        <v>214</v>
      </c>
      <c r="CF386" t="s">
        <v>215</v>
      </c>
      <c r="CH386" t="s">
        <v>214</v>
      </c>
      <c r="CI386" t="s">
        <v>214</v>
      </c>
      <c r="CJ386" t="s">
        <v>214</v>
      </c>
      <c r="CP386" t="s">
        <v>214</v>
      </c>
      <c r="CS386" t="s">
        <v>216</v>
      </c>
      <c r="CV386" t="s">
        <v>214</v>
      </c>
      <c r="CW386" t="s">
        <v>214</v>
      </c>
      <c r="CX386" t="s">
        <v>217</v>
      </c>
      <c r="CY386" t="s">
        <v>214</v>
      </c>
      <c r="DA386" t="s">
        <v>218</v>
      </c>
    </row>
    <row r="387" spans="1:105" x14ac:dyDescent="0.3">
      <c r="A387">
        <v>17102082</v>
      </c>
      <c r="B387">
        <v>621825</v>
      </c>
      <c r="C387" t="str">
        <f>"140925503513"</f>
        <v>140925503513</v>
      </c>
      <c r="D387" t="s">
        <v>1150</v>
      </c>
      <c r="E387" t="s">
        <v>847</v>
      </c>
      <c r="F387" t="s">
        <v>1151</v>
      </c>
      <c r="G387" s="1">
        <v>41907</v>
      </c>
      <c r="I387" t="s">
        <v>187</v>
      </c>
      <c r="J387" t="s">
        <v>188</v>
      </c>
      <c r="K387" t="s">
        <v>189</v>
      </c>
      <c r="Y387" t="str">
        <f>"2020-10-07T00:00:00"</f>
        <v>2020-10-07T00:00:00</v>
      </c>
      <c r="Z387" t="str">
        <f>"34"</f>
        <v>34</v>
      </c>
      <c r="AA387" t="s">
        <v>190</v>
      </c>
      <c r="AC387" t="s">
        <v>225</v>
      </c>
      <c r="AD387" t="s">
        <v>899</v>
      </c>
      <c r="AE387" t="s">
        <v>413</v>
      </c>
      <c r="AF387" t="s">
        <v>194</v>
      </c>
      <c r="AH387" t="s">
        <v>195</v>
      </c>
      <c r="AI387">
        <v>2</v>
      </c>
      <c r="AJ387" t="s">
        <v>196</v>
      </c>
      <c r="AK387" t="s">
        <v>194</v>
      </c>
      <c r="AL387" t="s">
        <v>197</v>
      </c>
      <c r="AM387" t="s">
        <v>198</v>
      </c>
      <c r="AR387" t="s">
        <v>194</v>
      </c>
      <c r="AS387" t="s">
        <v>199</v>
      </c>
      <c r="AU387" t="s">
        <v>197</v>
      </c>
      <c r="AZ387" t="s">
        <v>194</v>
      </c>
      <c r="BB387" t="s">
        <v>201</v>
      </c>
      <c r="BE387" t="s">
        <v>900</v>
      </c>
      <c r="BF387" t="s">
        <v>197</v>
      </c>
      <c r="BJ387" t="s">
        <v>205</v>
      </c>
      <c r="BK387" t="s">
        <v>206</v>
      </c>
      <c r="BL387" t="s">
        <v>194</v>
      </c>
      <c r="BO387" t="s">
        <v>200</v>
      </c>
      <c r="BP387" t="s">
        <v>200</v>
      </c>
      <c r="BQ387" t="s">
        <v>280</v>
      </c>
      <c r="BR387" t="s">
        <v>232</v>
      </c>
      <c r="BT387" t="s">
        <v>197</v>
      </c>
      <c r="BV387" t="s">
        <v>233</v>
      </c>
      <c r="CA387" t="s">
        <v>194</v>
      </c>
      <c r="CB387" t="s">
        <v>214</v>
      </c>
      <c r="CF387" t="s">
        <v>215</v>
      </c>
      <c r="CH387" t="s">
        <v>214</v>
      </c>
      <c r="CI387" t="s">
        <v>214</v>
      </c>
      <c r="CJ387" t="s">
        <v>214</v>
      </c>
      <c r="CP387" t="s">
        <v>214</v>
      </c>
      <c r="CS387" t="s">
        <v>216</v>
      </c>
      <c r="CV387" t="s">
        <v>214</v>
      </c>
      <c r="CW387" t="s">
        <v>214</v>
      </c>
      <c r="CX387" t="s">
        <v>217</v>
      </c>
      <c r="CY387" t="s">
        <v>214</v>
      </c>
      <c r="DA387" t="s">
        <v>218</v>
      </c>
    </row>
    <row r="388" spans="1:105" x14ac:dyDescent="0.3">
      <c r="A388">
        <v>15663253</v>
      </c>
      <c r="B388">
        <v>6388146</v>
      </c>
      <c r="C388" t="str">
        <f>"140713601725"</f>
        <v>140713601725</v>
      </c>
      <c r="D388" t="s">
        <v>1152</v>
      </c>
      <c r="E388" t="s">
        <v>667</v>
      </c>
      <c r="F388" t="s">
        <v>399</v>
      </c>
      <c r="G388" s="1">
        <v>41833</v>
      </c>
      <c r="I388" t="s">
        <v>222</v>
      </c>
      <c r="J388" t="s">
        <v>188</v>
      </c>
      <c r="K388" t="s">
        <v>223</v>
      </c>
      <c r="Y388" t="str">
        <f>"2020-08-11T00:00:00"</f>
        <v>2020-08-11T00:00:00</v>
      </c>
      <c r="Z388" t="str">
        <f>"17"</f>
        <v>17</v>
      </c>
      <c r="AA388" t="s">
        <v>190</v>
      </c>
      <c r="AC388" t="s">
        <v>225</v>
      </c>
      <c r="AD388" t="s">
        <v>815</v>
      </c>
      <c r="AE388" t="s">
        <v>193</v>
      </c>
      <c r="AF388" t="s">
        <v>194</v>
      </c>
      <c r="AH388" t="s">
        <v>195</v>
      </c>
      <c r="AI388">
        <v>1</v>
      </c>
      <c r="AJ388" t="s">
        <v>196</v>
      </c>
      <c r="AK388" t="s">
        <v>194</v>
      </c>
      <c r="AL388" t="s">
        <v>197</v>
      </c>
      <c r="AM388" t="s">
        <v>811</v>
      </c>
      <c r="AR388" t="s">
        <v>214</v>
      </c>
      <c r="AU388" t="s">
        <v>197</v>
      </c>
      <c r="AZ388" t="s">
        <v>194</v>
      </c>
      <c r="BA388" t="s">
        <v>200</v>
      </c>
      <c r="BB388" t="s">
        <v>201</v>
      </c>
      <c r="BD388" t="s">
        <v>200</v>
      </c>
      <c r="BE388" t="s">
        <v>229</v>
      </c>
      <c r="BF388" t="s">
        <v>197</v>
      </c>
      <c r="BG388" t="s">
        <v>230</v>
      </c>
      <c r="BH388" t="s">
        <v>307</v>
      </c>
      <c r="BJ388" t="s">
        <v>205</v>
      </c>
      <c r="BK388" t="s">
        <v>206</v>
      </c>
      <c r="BL388" t="s">
        <v>194</v>
      </c>
      <c r="BO388" t="s">
        <v>200</v>
      </c>
      <c r="BP388" t="s">
        <v>200</v>
      </c>
      <c r="BQ388" t="s">
        <v>280</v>
      </c>
      <c r="BR388" t="s">
        <v>232</v>
      </c>
      <c r="BT388" t="s">
        <v>197</v>
      </c>
      <c r="BV388" t="s">
        <v>415</v>
      </c>
      <c r="BW388" t="s">
        <v>416</v>
      </c>
      <c r="BX388" t="s">
        <v>539</v>
      </c>
      <c r="BY388" t="s">
        <v>534</v>
      </c>
      <c r="BZ388" t="s">
        <v>616</v>
      </c>
      <c r="CA388" t="s">
        <v>194</v>
      </c>
      <c r="CB388" t="s">
        <v>214</v>
      </c>
      <c r="CF388" t="s">
        <v>215</v>
      </c>
      <c r="CH388" t="s">
        <v>214</v>
      </c>
      <c r="CI388" t="s">
        <v>214</v>
      </c>
      <c r="CJ388" t="s">
        <v>214</v>
      </c>
      <c r="CP388" t="s">
        <v>214</v>
      </c>
      <c r="CS388" t="s">
        <v>216</v>
      </c>
      <c r="CV388" t="s">
        <v>214</v>
      </c>
      <c r="CW388" t="s">
        <v>214</v>
      </c>
      <c r="CX388" t="s">
        <v>217</v>
      </c>
      <c r="CY388" t="s">
        <v>214</v>
      </c>
      <c r="DA388" t="s">
        <v>218</v>
      </c>
    </row>
    <row r="389" spans="1:105" x14ac:dyDescent="0.3">
      <c r="A389">
        <v>15663424</v>
      </c>
      <c r="B389">
        <v>9125341</v>
      </c>
      <c r="C389" t="str">
        <f>"130725502364"</f>
        <v>130725502364</v>
      </c>
      <c r="D389" t="s">
        <v>1153</v>
      </c>
      <c r="E389" t="s">
        <v>1154</v>
      </c>
      <c r="F389" t="s">
        <v>1155</v>
      </c>
      <c r="G389" s="1">
        <v>41480</v>
      </c>
      <c r="I389" t="s">
        <v>187</v>
      </c>
      <c r="J389" t="s">
        <v>188</v>
      </c>
      <c r="K389" t="s">
        <v>189</v>
      </c>
      <c r="Y389" t="str">
        <f>"2020-07-20T00:00:00"</f>
        <v>2020-07-20T00:00:00</v>
      </c>
      <c r="Z389" t="str">
        <f>"13"</f>
        <v>13</v>
      </c>
      <c r="AA389" t="s">
        <v>190</v>
      </c>
      <c r="AC389" t="s">
        <v>225</v>
      </c>
      <c r="AD389" t="s">
        <v>815</v>
      </c>
      <c r="AE389" t="s">
        <v>193</v>
      </c>
      <c r="AF389" t="s">
        <v>194</v>
      </c>
      <c r="AH389" t="s">
        <v>195</v>
      </c>
      <c r="AI389">
        <v>1</v>
      </c>
      <c r="AJ389" t="s">
        <v>196</v>
      </c>
      <c r="AK389" t="s">
        <v>194</v>
      </c>
      <c r="AL389" t="s">
        <v>197</v>
      </c>
      <c r="AM389" t="s">
        <v>198</v>
      </c>
      <c r="AR389" t="s">
        <v>194</v>
      </c>
      <c r="AS389" t="s">
        <v>199</v>
      </c>
      <c r="AU389" t="s">
        <v>197</v>
      </c>
      <c r="AZ389" t="s">
        <v>194</v>
      </c>
      <c r="BA389" t="s">
        <v>200</v>
      </c>
      <c r="BB389" t="s">
        <v>201</v>
      </c>
      <c r="BD389" t="s">
        <v>200</v>
      </c>
      <c r="BE389" t="s">
        <v>229</v>
      </c>
      <c r="BF389" t="s">
        <v>197</v>
      </c>
      <c r="BG389" t="s">
        <v>230</v>
      </c>
      <c r="BH389" t="s">
        <v>307</v>
      </c>
      <c r="BJ389" t="s">
        <v>205</v>
      </c>
      <c r="BK389" t="s">
        <v>206</v>
      </c>
      <c r="BL389" t="s">
        <v>194</v>
      </c>
      <c r="BO389" t="s">
        <v>200</v>
      </c>
      <c r="BP389" t="s">
        <v>200</v>
      </c>
      <c r="BQ389" t="s">
        <v>280</v>
      </c>
      <c r="BR389" t="s">
        <v>232</v>
      </c>
      <c r="BT389" t="s">
        <v>197</v>
      </c>
      <c r="BV389" t="s">
        <v>233</v>
      </c>
      <c r="CA389" t="s">
        <v>194</v>
      </c>
      <c r="CB389" t="s">
        <v>214</v>
      </c>
      <c r="CF389" t="s">
        <v>215</v>
      </c>
      <c r="CH389" t="s">
        <v>214</v>
      </c>
      <c r="CI389" t="s">
        <v>214</v>
      </c>
      <c r="CJ389" t="s">
        <v>214</v>
      </c>
      <c r="CP389" t="s">
        <v>214</v>
      </c>
      <c r="CS389" t="s">
        <v>216</v>
      </c>
      <c r="CV389" t="s">
        <v>214</v>
      </c>
      <c r="CW389" t="s">
        <v>214</v>
      </c>
      <c r="CX389" t="s">
        <v>217</v>
      </c>
      <c r="CY389" t="s">
        <v>214</v>
      </c>
      <c r="DA389" t="s">
        <v>218</v>
      </c>
    </row>
    <row r="390" spans="1:105" x14ac:dyDescent="0.3">
      <c r="A390">
        <v>15664295</v>
      </c>
      <c r="B390">
        <v>9743044</v>
      </c>
      <c r="C390" t="str">
        <f>"130403603338"</f>
        <v>130403603338</v>
      </c>
      <c r="D390" t="s">
        <v>1156</v>
      </c>
      <c r="E390" t="s">
        <v>1059</v>
      </c>
      <c r="F390" t="s">
        <v>336</v>
      </c>
      <c r="G390" s="1">
        <v>41367</v>
      </c>
      <c r="I390" t="s">
        <v>222</v>
      </c>
      <c r="J390" t="s">
        <v>188</v>
      </c>
      <c r="K390" t="s">
        <v>223</v>
      </c>
      <c r="Y390" t="str">
        <f>"2020-07-20T00:00:00"</f>
        <v>2020-07-20T00:00:00</v>
      </c>
      <c r="Z390" t="str">
        <f>"13"</f>
        <v>13</v>
      </c>
      <c r="AA390" t="s">
        <v>190</v>
      </c>
      <c r="AC390" t="s">
        <v>225</v>
      </c>
      <c r="AD390" t="s">
        <v>815</v>
      </c>
      <c r="AE390" t="s">
        <v>193</v>
      </c>
      <c r="AF390" t="s">
        <v>194</v>
      </c>
      <c r="AH390" t="s">
        <v>195</v>
      </c>
      <c r="AI390">
        <v>1</v>
      </c>
      <c r="AJ390" t="s">
        <v>196</v>
      </c>
      <c r="AK390" t="s">
        <v>194</v>
      </c>
      <c r="AL390" t="s">
        <v>197</v>
      </c>
      <c r="AM390" t="s">
        <v>198</v>
      </c>
      <c r="AR390" t="s">
        <v>194</v>
      </c>
      <c r="AS390" t="s">
        <v>199</v>
      </c>
      <c r="AU390" t="s">
        <v>197</v>
      </c>
      <c r="AZ390" t="s">
        <v>194</v>
      </c>
      <c r="BA390" t="s">
        <v>200</v>
      </c>
      <c r="BB390" t="s">
        <v>201</v>
      </c>
      <c r="BD390" t="s">
        <v>200</v>
      </c>
      <c r="BE390" t="s">
        <v>229</v>
      </c>
      <c r="BF390" t="s">
        <v>197</v>
      </c>
      <c r="BG390" t="s">
        <v>230</v>
      </c>
      <c r="BH390" t="s">
        <v>307</v>
      </c>
      <c r="BJ390" t="s">
        <v>205</v>
      </c>
      <c r="BK390" t="s">
        <v>206</v>
      </c>
      <c r="BL390" t="s">
        <v>194</v>
      </c>
      <c r="BO390" t="s">
        <v>200</v>
      </c>
      <c r="BP390" t="s">
        <v>200</v>
      </c>
      <c r="BQ390" t="s">
        <v>280</v>
      </c>
      <c r="BR390" t="s">
        <v>232</v>
      </c>
      <c r="BT390" t="s">
        <v>197</v>
      </c>
      <c r="BV390" t="s">
        <v>415</v>
      </c>
      <c r="BW390" t="s">
        <v>416</v>
      </c>
      <c r="BX390" t="s">
        <v>539</v>
      </c>
      <c r="BY390" t="s">
        <v>534</v>
      </c>
      <c r="BZ390" t="s">
        <v>616</v>
      </c>
      <c r="CA390" t="s">
        <v>194</v>
      </c>
      <c r="CB390" t="s">
        <v>214</v>
      </c>
      <c r="CF390" t="s">
        <v>215</v>
      </c>
      <c r="CH390" t="s">
        <v>214</v>
      </c>
      <c r="CI390" t="s">
        <v>214</v>
      </c>
      <c r="CJ390" t="s">
        <v>214</v>
      </c>
      <c r="CP390" t="s">
        <v>214</v>
      </c>
      <c r="CS390" t="s">
        <v>216</v>
      </c>
      <c r="CV390" t="s">
        <v>214</v>
      </c>
      <c r="CW390" t="s">
        <v>214</v>
      </c>
      <c r="CX390" t="s">
        <v>217</v>
      </c>
      <c r="CY390" t="s">
        <v>214</v>
      </c>
      <c r="DA390" t="s">
        <v>218</v>
      </c>
    </row>
    <row r="391" spans="1:105" x14ac:dyDescent="0.3">
      <c r="A391">
        <v>17231689</v>
      </c>
      <c r="B391">
        <v>6553753</v>
      </c>
      <c r="C391" t="str">
        <f>"140914502343"</f>
        <v>140914502343</v>
      </c>
      <c r="D391" t="s">
        <v>932</v>
      </c>
      <c r="E391" t="s">
        <v>1157</v>
      </c>
      <c r="F391" t="s">
        <v>934</v>
      </c>
      <c r="G391" s="1">
        <v>41896</v>
      </c>
      <c r="I391" t="s">
        <v>187</v>
      </c>
      <c r="J391" t="s">
        <v>188</v>
      </c>
      <c r="K391" t="s">
        <v>189</v>
      </c>
      <c r="Y391" t="str">
        <f>"2020-10-09T00:00:00"</f>
        <v>2020-10-09T00:00:00</v>
      </c>
      <c r="Z391" t="str">
        <f>"33"</f>
        <v>33</v>
      </c>
      <c r="AA391" t="s">
        <v>190</v>
      </c>
      <c r="AC391" t="s">
        <v>225</v>
      </c>
      <c r="AD391" t="s">
        <v>899</v>
      </c>
      <c r="AE391" t="s">
        <v>193</v>
      </c>
      <c r="AF391" t="s">
        <v>194</v>
      </c>
      <c r="AH391" t="s">
        <v>195</v>
      </c>
      <c r="AI391">
        <v>2</v>
      </c>
      <c r="AJ391" t="s">
        <v>196</v>
      </c>
      <c r="AK391" t="s">
        <v>194</v>
      </c>
      <c r="AL391" t="s">
        <v>197</v>
      </c>
      <c r="AM391" t="s">
        <v>198</v>
      </c>
      <c r="AR391" t="s">
        <v>194</v>
      </c>
      <c r="AS391" t="s">
        <v>199</v>
      </c>
      <c r="AU391" t="s">
        <v>197</v>
      </c>
      <c r="AZ391" t="s">
        <v>194</v>
      </c>
      <c r="BB391" t="s">
        <v>201</v>
      </c>
      <c r="BE391" t="s">
        <v>900</v>
      </c>
      <c r="BF391" t="s">
        <v>197</v>
      </c>
      <c r="BJ391" t="s">
        <v>205</v>
      </c>
      <c r="BK391" t="s">
        <v>206</v>
      </c>
      <c r="BL391" t="s">
        <v>194</v>
      </c>
      <c r="BO391" t="s">
        <v>200</v>
      </c>
      <c r="BP391" t="s">
        <v>200</v>
      </c>
      <c r="BQ391" t="s">
        <v>280</v>
      </c>
      <c r="BR391" t="s">
        <v>232</v>
      </c>
      <c r="BT391" t="s">
        <v>197</v>
      </c>
      <c r="BV391" t="s">
        <v>233</v>
      </c>
      <c r="CA391" t="s">
        <v>194</v>
      </c>
      <c r="CB391" t="s">
        <v>214</v>
      </c>
      <c r="CF391" t="s">
        <v>215</v>
      </c>
      <c r="CH391" t="s">
        <v>214</v>
      </c>
      <c r="CI391" t="s">
        <v>214</v>
      </c>
      <c r="CJ391" t="s">
        <v>214</v>
      </c>
      <c r="CP391" t="s">
        <v>214</v>
      </c>
      <c r="CS391" t="s">
        <v>216</v>
      </c>
      <c r="CV391" t="s">
        <v>214</v>
      </c>
      <c r="CW391" t="s">
        <v>214</v>
      </c>
      <c r="CX391" t="s">
        <v>217</v>
      </c>
      <c r="CY391" t="s">
        <v>214</v>
      </c>
      <c r="DA391" t="s">
        <v>218</v>
      </c>
    </row>
    <row r="392" spans="1:105" x14ac:dyDescent="0.3">
      <c r="A392">
        <v>17308224</v>
      </c>
      <c r="B392">
        <v>7302353</v>
      </c>
      <c r="C392" t="str">
        <f>"160124602953"</f>
        <v>160124602953</v>
      </c>
      <c r="D392" t="s">
        <v>1158</v>
      </c>
      <c r="E392" t="s">
        <v>1159</v>
      </c>
      <c r="F392" t="s">
        <v>1160</v>
      </c>
      <c r="G392" s="1">
        <v>42393</v>
      </c>
      <c r="I392" t="s">
        <v>222</v>
      </c>
      <c r="J392" t="s">
        <v>188</v>
      </c>
      <c r="K392" t="s">
        <v>189</v>
      </c>
      <c r="Y392" t="str">
        <f>"2020-10-13T00:00:00"</f>
        <v>2020-10-13T00:00:00</v>
      </c>
      <c r="Z392" t="str">
        <f>"35"</f>
        <v>35</v>
      </c>
      <c r="AA392" t="s">
        <v>190</v>
      </c>
      <c r="AC392" t="s">
        <v>225</v>
      </c>
      <c r="AD392" t="s">
        <v>899</v>
      </c>
      <c r="AE392" t="s">
        <v>193</v>
      </c>
      <c r="AF392" t="s">
        <v>194</v>
      </c>
      <c r="AH392" t="s">
        <v>195</v>
      </c>
      <c r="AI392">
        <v>2</v>
      </c>
      <c r="AJ392" t="s">
        <v>196</v>
      </c>
      <c r="AK392" t="s">
        <v>194</v>
      </c>
      <c r="AL392" t="s">
        <v>197</v>
      </c>
      <c r="AM392" t="s">
        <v>198</v>
      </c>
      <c r="AR392" t="s">
        <v>194</v>
      </c>
      <c r="AS392" t="s">
        <v>199</v>
      </c>
      <c r="AU392" t="s">
        <v>197</v>
      </c>
      <c r="AZ392" t="s">
        <v>194</v>
      </c>
      <c r="BB392" t="s">
        <v>201</v>
      </c>
      <c r="BE392" t="s">
        <v>900</v>
      </c>
      <c r="BF392" t="s">
        <v>197</v>
      </c>
      <c r="BJ392" t="s">
        <v>205</v>
      </c>
      <c r="BK392" t="s">
        <v>206</v>
      </c>
      <c r="BL392" t="s">
        <v>194</v>
      </c>
      <c r="BO392" t="s">
        <v>200</v>
      </c>
      <c r="BP392" t="s">
        <v>200</v>
      </c>
      <c r="BQ392" t="s">
        <v>280</v>
      </c>
      <c r="BR392" t="s">
        <v>232</v>
      </c>
      <c r="BT392" t="s">
        <v>197</v>
      </c>
      <c r="BV392" t="s">
        <v>233</v>
      </c>
      <c r="CA392" t="s">
        <v>194</v>
      </c>
      <c r="CB392" t="s">
        <v>214</v>
      </c>
      <c r="CF392" t="s">
        <v>215</v>
      </c>
      <c r="CH392" t="s">
        <v>214</v>
      </c>
      <c r="CI392" t="s">
        <v>214</v>
      </c>
      <c r="CJ392" t="s">
        <v>214</v>
      </c>
      <c r="CP392" t="s">
        <v>214</v>
      </c>
      <c r="CS392" t="s">
        <v>216</v>
      </c>
      <c r="CV392" t="s">
        <v>214</v>
      </c>
      <c r="CW392" t="s">
        <v>214</v>
      </c>
      <c r="CX392" t="s">
        <v>217</v>
      </c>
      <c r="CY392" t="s">
        <v>214</v>
      </c>
      <c r="DA392" t="s">
        <v>218</v>
      </c>
    </row>
    <row r="393" spans="1:105" x14ac:dyDescent="0.3">
      <c r="A393">
        <v>17352886</v>
      </c>
      <c r="B393">
        <v>9036955</v>
      </c>
      <c r="C393" t="str">
        <f>"150425602214"</f>
        <v>150425602214</v>
      </c>
      <c r="D393" t="s">
        <v>941</v>
      </c>
      <c r="E393" t="s">
        <v>633</v>
      </c>
      <c r="F393" t="s">
        <v>1161</v>
      </c>
      <c r="G393" s="1">
        <v>42119</v>
      </c>
      <c r="I393" t="s">
        <v>222</v>
      </c>
      <c r="J393" t="s">
        <v>188</v>
      </c>
      <c r="K393" t="s">
        <v>189</v>
      </c>
      <c r="Y393" t="str">
        <f>"2020-09-13T00:00:00"</f>
        <v>2020-09-13T00:00:00</v>
      </c>
      <c r="Z393" t="str">
        <f>"35"</f>
        <v>35</v>
      </c>
      <c r="AA393" t="s">
        <v>190</v>
      </c>
      <c r="AC393" t="s">
        <v>225</v>
      </c>
      <c r="AD393" t="s">
        <v>899</v>
      </c>
      <c r="AE393" t="s">
        <v>193</v>
      </c>
      <c r="AF393" t="s">
        <v>194</v>
      </c>
      <c r="AH393" t="s">
        <v>195</v>
      </c>
      <c r="AI393">
        <v>2</v>
      </c>
      <c r="AJ393" t="s">
        <v>196</v>
      </c>
      <c r="AK393" t="s">
        <v>194</v>
      </c>
      <c r="AL393" t="s">
        <v>197</v>
      </c>
      <c r="AM393" t="s">
        <v>811</v>
      </c>
      <c r="AR393" t="s">
        <v>214</v>
      </c>
      <c r="AU393" t="s">
        <v>197</v>
      </c>
      <c r="AZ393" t="s">
        <v>194</v>
      </c>
      <c r="BB393" t="s">
        <v>201</v>
      </c>
      <c r="BE393" t="s">
        <v>900</v>
      </c>
      <c r="BF393" t="s">
        <v>197</v>
      </c>
      <c r="BJ393" t="s">
        <v>205</v>
      </c>
      <c r="BK393" t="s">
        <v>206</v>
      </c>
      <c r="BL393" t="s">
        <v>194</v>
      </c>
      <c r="BO393" t="s">
        <v>200</v>
      </c>
      <c r="BP393" t="s">
        <v>200</v>
      </c>
      <c r="BQ393" t="s">
        <v>286</v>
      </c>
      <c r="BR393" t="s">
        <v>232</v>
      </c>
      <c r="BT393" t="s">
        <v>197</v>
      </c>
      <c r="BV393" t="s">
        <v>233</v>
      </c>
      <c r="CA393" t="s">
        <v>194</v>
      </c>
      <c r="CB393" t="s">
        <v>214</v>
      </c>
      <c r="CF393" t="s">
        <v>215</v>
      </c>
      <c r="CH393" t="s">
        <v>214</v>
      </c>
      <c r="CI393" t="s">
        <v>214</v>
      </c>
      <c r="CJ393" t="s">
        <v>214</v>
      </c>
      <c r="CP393" t="s">
        <v>214</v>
      </c>
      <c r="CS393" t="s">
        <v>216</v>
      </c>
      <c r="CV393" t="s">
        <v>214</v>
      </c>
      <c r="CW393" t="s">
        <v>214</v>
      </c>
      <c r="CX393" t="s">
        <v>217</v>
      </c>
      <c r="CY393" t="s">
        <v>214</v>
      </c>
      <c r="DA393" t="s">
        <v>218</v>
      </c>
    </row>
    <row r="394" spans="1:105" x14ac:dyDescent="0.3">
      <c r="A394">
        <v>15668341</v>
      </c>
      <c r="B394">
        <v>955353</v>
      </c>
      <c r="C394" t="str">
        <f>"140908500473"</f>
        <v>140908500473</v>
      </c>
      <c r="D394" t="s">
        <v>963</v>
      </c>
      <c r="E394" t="s">
        <v>1162</v>
      </c>
      <c r="F394" t="s">
        <v>1163</v>
      </c>
      <c r="G394" s="1">
        <v>41890</v>
      </c>
      <c r="I394" t="s">
        <v>187</v>
      </c>
      <c r="J394" t="s">
        <v>188</v>
      </c>
      <c r="K394" t="s">
        <v>223</v>
      </c>
      <c r="Y394" t="str">
        <f>"2020-08-21T00:00:00"</f>
        <v>2020-08-21T00:00:00</v>
      </c>
      <c r="Z394" t="str">
        <f>"19"</f>
        <v>19</v>
      </c>
      <c r="AA394" t="s">
        <v>190</v>
      </c>
      <c r="AC394" t="s">
        <v>225</v>
      </c>
      <c r="AD394" t="s">
        <v>899</v>
      </c>
      <c r="AE394" t="s">
        <v>227</v>
      </c>
      <c r="AF394" t="s">
        <v>194</v>
      </c>
      <c r="AH394" t="s">
        <v>195</v>
      </c>
      <c r="AI394">
        <v>3</v>
      </c>
      <c r="AJ394" t="s">
        <v>196</v>
      </c>
      <c r="AK394" t="s">
        <v>194</v>
      </c>
      <c r="AL394" t="s">
        <v>197</v>
      </c>
      <c r="AM394" t="s">
        <v>198</v>
      </c>
      <c r="AR394" t="s">
        <v>194</v>
      </c>
      <c r="AS394" t="s">
        <v>199</v>
      </c>
      <c r="AU394" t="s">
        <v>197</v>
      </c>
      <c r="AZ394" t="s">
        <v>194</v>
      </c>
      <c r="BA394" t="s">
        <v>200</v>
      </c>
      <c r="BB394" t="s">
        <v>201</v>
      </c>
      <c r="BD394" t="s">
        <v>200</v>
      </c>
      <c r="BE394" t="s">
        <v>900</v>
      </c>
      <c r="BF394" t="s">
        <v>197</v>
      </c>
      <c r="BJ394" t="s">
        <v>205</v>
      </c>
      <c r="BK394" t="s">
        <v>206</v>
      </c>
      <c r="BL394" t="s">
        <v>194</v>
      </c>
      <c r="BO394" t="s">
        <v>200</v>
      </c>
      <c r="BP394" t="s">
        <v>200</v>
      </c>
      <c r="BQ394" t="s">
        <v>280</v>
      </c>
      <c r="BR394" t="s">
        <v>232</v>
      </c>
      <c r="BT394" t="s">
        <v>197</v>
      </c>
      <c r="BV394" t="s">
        <v>233</v>
      </c>
      <c r="CA394" t="s">
        <v>194</v>
      </c>
      <c r="CB394" t="s">
        <v>214</v>
      </c>
      <c r="CF394" t="s">
        <v>215</v>
      </c>
      <c r="CH394" t="s">
        <v>214</v>
      </c>
      <c r="CI394" t="s">
        <v>214</v>
      </c>
      <c r="CJ394" t="s">
        <v>214</v>
      </c>
      <c r="CP394" t="s">
        <v>214</v>
      </c>
      <c r="CS394" t="s">
        <v>216</v>
      </c>
      <c r="CV394" t="s">
        <v>214</v>
      </c>
      <c r="CW394" t="s">
        <v>214</v>
      </c>
      <c r="CX394" t="s">
        <v>217</v>
      </c>
      <c r="CY394" t="s">
        <v>214</v>
      </c>
      <c r="DA394" t="s">
        <v>218</v>
      </c>
    </row>
    <row r="395" spans="1:105" x14ac:dyDescent="0.3">
      <c r="A395">
        <v>18478596</v>
      </c>
      <c r="B395">
        <v>45325</v>
      </c>
      <c r="C395" t="str">
        <f>"120725601816"</f>
        <v>120725601816</v>
      </c>
      <c r="D395" t="s">
        <v>1164</v>
      </c>
      <c r="E395" t="s">
        <v>1165</v>
      </c>
      <c r="F395" t="s">
        <v>1166</v>
      </c>
      <c r="G395" s="1">
        <v>41115</v>
      </c>
      <c r="I395" t="s">
        <v>222</v>
      </c>
      <c r="J395" t="s">
        <v>188</v>
      </c>
      <c r="K395" t="s">
        <v>189</v>
      </c>
      <c r="Y395" t="str">
        <f>"2020-12-03T00:00:00"</f>
        <v>2020-12-03T00:00:00</v>
      </c>
      <c r="Z395" t="str">
        <f>"38"</f>
        <v>38</v>
      </c>
      <c r="AA395" t="s">
        <v>190</v>
      </c>
      <c r="AC395" t="s">
        <v>191</v>
      </c>
      <c r="AD395" t="s">
        <v>285</v>
      </c>
      <c r="AE395" t="s">
        <v>227</v>
      </c>
      <c r="AF395" t="s">
        <v>194</v>
      </c>
      <c r="AH395" t="s">
        <v>195</v>
      </c>
      <c r="AI395">
        <v>2</v>
      </c>
      <c r="AJ395" t="s">
        <v>196</v>
      </c>
      <c r="AK395" t="s">
        <v>194</v>
      </c>
      <c r="AL395" t="s">
        <v>197</v>
      </c>
      <c r="AM395" t="s">
        <v>198</v>
      </c>
      <c r="AR395" t="s">
        <v>194</v>
      </c>
      <c r="AS395" t="s">
        <v>199</v>
      </c>
      <c r="AU395" t="s">
        <v>197</v>
      </c>
      <c r="AZ395" t="s">
        <v>194</v>
      </c>
      <c r="BB395" t="s">
        <v>201</v>
      </c>
      <c r="BE395" t="s">
        <v>229</v>
      </c>
      <c r="BF395" t="s">
        <v>197</v>
      </c>
      <c r="BG395" t="s">
        <v>230</v>
      </c>
      <c r="BH395" t="s">
        <v>307</v>
      </c>
      <c r="BJ395" t="s">
        <v>205</v>
      </c>
      <c r="BK395" t="s">
        <v>206</v>
      </c>
      <c r="BL395" t="s">
        <v>194</v>
      </c>
      <c r="BO395" t="s">
        <v>216</v>
      </c>
      <c r="BP395" t="s">
        <v>216</v>
      </c>
      <c r="BQ395" t="s">
        <v>731</v>
      </c>
      <c r="BR395" t="s">
        <v>232</v>
      </c>
      <c r="BT395" t="s">
        <v>197</v>
      </c>
      <c r="BV395" t="s">
        <v>233</v>
      </c>
      <c r="CA395" t="s">
        <v>194</v>
      </c>
      <c r="CB395" t="s">
        <v>214</v>
      </c>
      <c r="CF395" t="s">
        <v>215</v>
      </c>
      <c r="CH395" t="s">
        <v>214</v>
      </c>
      <c r="CI395" t="s">
        <v>214</v>
      </c>
      <c r="CJ395" t="s">
        <v>214</v>
      </c>
      <c r="CP395" t="s">
        <v>214</v>
      </c>
      <c r="CS395" t="s">
        <v>216</v>
      </c>
      <c r="CV395" t="s">
        <v>214</v>
      </c>
      <c r="CW395" t="s">
        <v>214</v>
      </c>
      <c r="CX395" t="s">
        <v>217</v>
      </c>
      <c r="CY395" t="s">
        <v>214</v>
      </c>
      <c r="DA395" t="s">
        <v>218</v>
      </c>
    </row>
    <row r="396" spans="1:105" x14ac:dyDescent="0.3">
      <c r="A396">
        <v>18752055</v>
      </c>
      <c r="B396">
        <v>955431</v>
      </c>
      <c r="C396" t="str">
        <f>"130615502277"</f>
        <v>130615502277</v>
      </c>
      <c r="D396" t="s">
        <v>1167</v>
      </c>
      <c r="E396" t="s">
        <v>1168</v>
      </c>
      <c r="F396" t="s">
        <v>989</v>
      </c>
      <c r="G396" s="1">
        <v>41440</v>
      </c>
      <c r="I396" t="s">
        <v>187</v>
      </c>
      <c r="J396" t="s">
        <v>188</v>
      </c>
      <c r="K396" t="s">
        <v>189</v>
      </c>
      <c r="Y396" t="str">
        <f>"2021-01-21T00:00:00"</f>
        <v>2021-01-21T00:00:00</v>
      </c>
      <c r="Z396" t="str">
        <f>"06"</f>
        <v>06</v>
      </c>
      <c r="AA396" t="s">
        <v>224</v>
      </c>
      <c r="AC396" t="s">
        <v>237</v>
      </c>
      <c r="AD396" t="s">
        <v>815</v>
      </c>
      <c r="AE396" t="s">
        <v>243</v>
      </c>
      <c r="AF396" t="s">
        <v>194</v>
      </c>
      <c r="AH396" t="s">
        <v>195</v>
      </c>
      <c r="AI396">
        <v>1</v>
      </c>
      <c r="AJ396" t="s">
        <v>196</v>
      </c>
      <c r="AK396" t="s">
        <v>194</v>
      </c>
      <c r="AL396" t="s">
        <v>197</v>
      </c>
      <c r="AM396" t="s">
        <v>198</v>
      </c>
      <c r="AR396" t="s">
        <v>194</v>
      </c>
      <c r="AS396" t="s">
        <v>199</v>
      </c>
      <c r="AU396" t="s">
        <v>197</v>
      </c>
      <c r="AZ396" t="s">
        <v>214</v>
      </c>
      <c r="BA396" t="s">
        <v>996</v>
      </c>
      <c r="BB396" t="s">
        <v>201</v>
      </c>
      <c r="BC396" t="s">
        <v>317</v>
      </c>
      <c r="BE396" t="s">
        <v>229</v>
      </c>
      <c r="BF396" t="s">
        <v>197</v>
      </c>
      <c r="BG396" t="s">
        <v>230</v>
      </c>
      <c r="BH396" t="s">
        <v>231</v>
      </c>
      <c r="BJ396" t="s">
        <v>205</v>
      </c>
      <c r="BK396" t="s">
        <v>206</v>
      </c>
      <c r="BL396" t="s">
        <v>194</v>
      </c>
      <c r="BQ396" t="s">
        <v>286</v>
      </c>
      <c r="BR396" t="s">
        <v>232</v>
      </c>
      <c r="BT396" t="s">
        <v>197</v>
      </c>
      <c r="BV396" t="s">
        <v>233</v>
      </c>
      <c r="CA396" t="s">
        <v>194</v>
      </c>
      <c r="CB396" t="s">
        <v>214</v>
      </c>
      <c r="CF396" t="s">
        <v>215</v>
      </c>
      <c r="CH396" t="s">
        <v>214</v>
      </c>
      <c r="CI396" t="s">
        <v>214</v>
      </c>
      <c r="CJ396" t="s">
        <v>214</v>
      </c>
      <c r="CP396" t="s">
        <v>214</v>
      </c>
      <c r="CS396" t="s">
        <v>216</v>
      </c>
      <c r="CV396" t="s">
        <v>214</v>
      </c>
      <c r="CW396" t="s">
        <v>214</v>
      </c>
      <c r="CX396" t="s">
        <v>217</v>
      </c>
      <c r="CY396" t="s">
        <v>214</v>
      </c>
      <c r="DA396" t="s">
        <v>218</v>
      </c>
    </row>
    <row r="397" spans="1:105" x14ac:dyDescent="0.3">
      <c r="A397">
        <v>18752058</v>
      </c>
      <c r="B397">
        <v>955436</v>
      </c>
      <c r="C397" t="str">
        <f>"140924604608"</f>
        <v>140924604608</v>
      </c>
      <c r="D397" t="s">
        <v>1167</v>
      </c>
      <c r="E397" t="s">
        <v>273</v>
      </c>
      <c r="F397" t="s">
        <v>1169</v>
      </c>
      <c r="G397" s="1">
        <v>41906</v>
      </c>
      <c r="I397" t="s">
        <v>222</v>
      </c>
      <c r="J397" t="s">
        <v>188</v>
      </c>
      <c r="K397" t="s">
        <v>189</v>
      </c>
      <c r="Y397" t="str">
        <f>"2021-01-21T00:00:00"</f>
        <v>2021-01-21T00:00:00</v>
      </c>
      <c r="Z397" t="str">
        <f>"06"</f>
        <v>06</v>
      </c>
      <c r="AA397" t="s">
        <v>224</v>
      </c>
      <c r="AC397" t="s">
        <v>225</v>
      </c>
      <c r="AD397" t="s">
        <v>815</v>
      </c>
      <c r="AE397" t="s">
        <v>243</v>
      </c>
      <c r="AF397" t="s">
        <v>194</v>
      </c>
      <c r="AH397" t="s">
        <v>195</v>
      </c>
      <c r="AI397">
        <v>1</v>
      </c>
      <c r="AJ397" t="s">
        <v>196</v>
      </c>
      <c r="AK397" t="s">
        <v>194</v>
      </c>
      <c r="AL397" t="s">
        <v>197</v>
      </c>
      <c r="AM397" t="s">
        <v>198</v>
      </c>
      <c r="AR397" t="s">
        <v>194</v>
      </c>
      <c r="AS397" t="s">
        <v>199</v>
      </c>
      <c r="AU397" t="s">
        <v>197</v>
      </c>
      <c r="AZ397" t="s">
        <v>214</v>
      </c>
      <c r="BA397" t="s">
        <v>996</v>
      </c>
      <c r="BB397" t="s">
        <v>201</v>
      </c>
      <c r="BC397" t="s">
        <v>317</v>
      </c>
      <c r="BE397" t="s">
        <v>229</v>
      </c>
      <c r="BF397" t="s">
        <v>197</v>
      </c>
      <c r="BG397" t="s">
        <v>230</v>
      </c>
      <c r="BH397" t="s">
        <v>307</v>
      </c>
      <c r="BJ397" t="s">
        <v>205</v>
      </c>
      <c r="BK397" t="s">
        <v>206</v>
      </c>
      <c r="BL397" t="s">
        <v>194</v>
      </c>
      <c r="BQ397" t="s">
        <v>286</v>
      </c>
      <c r="BR397" t="s">
        <v>232</v>
      </c>
      <c r="BT397" t="s">
        <v>197</v>
      </c>
      <c r="BV397" t="s">
        <v>233</v>
      </c>
      <c r="CA397" t="s">
        <v>194</v>
      </c>
      <c r="CB397" t="s">
        <v>214</v>
      </c>
      <c r="CF397" t="s">
        <v>215</v>
      </c>
      <c r="CH397" t="s">
        <v>214</v>
      </c>
      <c r="CI397" t="s">
        <v>214</v>
      </c>
      <c r="CJ397" t="s">
        <v>214</v>
      </c>
      <c r="CP397" t="s">
        <v>214</v>
      </c>
      <c r="CS397" t="s">
        <v>216</v>
      </c>
      <c r="CV397" t="s">
        <v>214</v>
      </c>
      <c r="CW397" t="s">
        <v>214</v>
      </c>
      <c r="CX397" t="s">
        <v>217</v>
      </c>
      <c r="CY397" t="s">
        <v>214</v>
      </c>
      <c r="DA397" t="s">
        <v>218</v>
      </c>
    </row>
    <row r="398" spans="1:105" x14ac:dyDescent="0.3">
      <c r="A398">
        <v>19219026</v>
      </c>
      <c r="B398">
        <v>611490</v>
      </c>
      <c r="C398" t="str">
        <f>"100422553603"</f>
        <v>100422553603</v>
      </c>
      <c r="D398" t="s">
        <v>580</v>
      </c>
      <c r="E398" t="s">
        <v>1170</v>
      </c>
      <c r="F398" t="s">
        <v>1171</v>
      </c>
      <c r="G398" s="1">
        <v>40290</v>
      </c>
      <c r="I398" t="s">
        <v>187</v>
      </c>
      <c r="J398" t="s">
        <v>188</v>
      </c>
      <c r="K398" t="s">
        <v>223</v>
      </c>
      <c r="Q398" t="s">
        <v>214</v>
      </c>
      <c r="Y398" t="str">
        <f>"2016-08-29T00:00:00"</f>
        <v>2016-08-29T00:00:00</v>
      </c>
      <c r="Z398" t="str">
        <f>"39"</f>
        <v>39</v>
      </c>
      <c r="AA398" t="s">
        <v>190</v>
      </c>
      <c r="AC398" t="s">
        <v>225</v>
      </c>
      <c r="AD398" t="s">
        <v>242</v>
      </c>
      <c r="AE398" t="s">
        <v>413</v>
      </c>
      <c r="AF398" t="s">
        <v>194</v>
      </c>
      <c r="AH398" t="s">
        <v>195</v>
      </c>
      <c r="AI398">
        <v>2</v>
      </c>
      <c r="AJ398" t="s">
        <v>196</v>
      </c>
      <c r="AK398" t="s">
        <v>194</v>
      </c>
      <c r="AL398" t="s">
        <v>197</v>
      </c>
      <c r="AM398" t="s">
        <v>198</v>
      </c>
      <c r="AR398" t="s">
        <v>194</v>
      </c>
      <c r="AS398" t="s">
        <v>199</v>
      </c>
      <c r="AU398" t="s">
        <v>197</v>
      </c>
      <c r="AZ398" t="s">
        <v>214</v>
      </c>
      <c r="BA398" t="s">
        <v>996</v>
      </c>
      <c r="BB398" t="s">
        <v>201</v>
      </c>
      <c r="BD398" t="s">
        <v>1172</v>
      </c>
      <c r="BE398" t="s">
        <v>244</v>
      </c>
      <c r="BF398" t="s">
        <v>197</v>
      </c>
      <c r="BG398" t="s">
        <v>230</v>
      </c>
      <c r="BH398" t="s">
        <v>245</v>
      </c>
      <c r="BJ398" t="s">
        <v>205</v>
      </c>
      <c r="BK398" t="s">
        <v>206</v>
      </c>
      <c r="BL398" t="s">
        <v>194</v>
      </c>
      <c r="BR398" t="s">
        <v>232</v>
      </c>
      <c r="BT398" t="s">
        <v>197</v>
      </c>
      <c r="BV398" t="s">
        <v>415</v>
      </c>
      <c r="BW398" t="s">
        <v>416</v>
      </c>
      <c r="BX398" t="s">
        <v>211</v>
      </c>
      <c r="BY398" t="s">
        <v>212</v>
      </c>
      <c r="BZ398" t="s">
        <v>417</v>
      </c>
      <c r="CA398" t="s">
        <v>194</v>
      </c>
      <c r="CB398" t="s">
        <v>214</v>
      </c>
      <c r="CF398" t="s">
        <v>215</v>
      </c>
      <c r="CH398" t="s">
        <v>214</v>
      </c>
      <c r="CI398" t="s">
        <v>214</v>
      </c>
      <c r="CJ398" t="s">
        <v>214</v>
      </c>
      <c r="CP398" t="s">
        <v>214</v>
      </c>
      <c r="CS398" t="s">
        <v>216</v>
      </c>
      <c r="CV398" t="s">
        <v>214</v>
      </c>
      <c r="CW398" t="s">
        <v>214</v>
      </c>
      <c r="CX398" t="s">
        <v>217</v>
      </c>
      <c r="CY398" t="s">
        <v>214</v>
      </c>
      <c r="DA398" t="s">
        <v>218</v>
      </c>
    </row>
    <row r="399" spans="1:105" x14ac:dyDescent="0.3">
      <c r="A399">
        <v>15668351</v>
      </c>
      <c r="B399">
        <v>8820772</v>
      </c>
      <c r="C399" t="str">
        <f>"141208503356"</f>
        <v>141208503356</v>
      </c>
      <c r="D399" t="s">
        <v>1123</v>
      </c>
      <c r="E399" t="s">
        <v>663</v>
      </c>
      <c r="F399" t="s">
        <v>529</v>
      </c>
      <c r="G399" s="1">
        <v>41981</v>
      </c>
      <c r="I399" t="s">
        <v>187</v>
      </c>
      <c r="J399" t="s">
        <v>188</v>
      </c>
      <c r="K399" t="s">
        <v>223</v>
      </c>
      <c r="Y399" t="str">
        <f>"2020-08-21T00:00:00"</f>
        <v>2020-08-21T00:00:00</v>
      </c>
      <c r="Z399" t="str">
        <f>"19"</f>
        <v>19</v>
      </c>
      <c r="AA399" t="s">
        <v>190</v>
      </c>
      <c r="AC399" t="s">
        <v>225</v>
      </c>
      <c r="AD399" t="s">
        <v>899</v>
      </c>
      <c r="AE399" t="s">
        <v>193</v>
      </c>
      <c r="AF399" t="s">
        <v>194</v>
      </c>
      <c r="AH399" t="s">
        <v>195</v>
      </c>
      <c r="AI399">
        <v>3</v>
      </c>
      <c r="AJ399" t="s">
        <v>196</v>
      </c>
      <c r="AL399" t="s">
        <v>197</v>
      </c>
      <c r="AM399" t="s">
        <v>198</v>
      </c>
      <c r="AR399" t="s">
        <v>194</v>
      </c>
      <c r="AS399" t="s">
        <v>199</v>
      </c>
      <c r="AU399" t="s">
        <v>197</v>
      </c>
      <c r="AZ399" t="s">
        <v>194</v>
      </c>
      <c r="BA399" t="s">
        <v>200</v>
      </c>
      <c r="BB399" t="s">
        <v>201</v>
      </c>
      <c r="BD399" t="s">
        <v>200</v>
      </c>
      <c r="BE399" t="s">
        <v>900</v>
      </c>
      <c r="BF399" t="s">
        <v>197</v>
      </c>
      <c r="BJ399" t="s">
        <v>205</v>
      </c>
      <c r="BK399" t="s">
        <v>206</v>
      </c>
      <c r="BL399" t="s">
        <v>194</v>
      </c>
      <c r="BO399" t="s">
        <v>216</v>
      </c>
      <c r="BP399" t="s">
        <v>216</v>
      </c>
      <c r="BQ399" t="s">
        <v>280</v>
      </c>
      <c r="BR399" t="s">
        <v>232</v>
      </c>
      <c r="BT399" t="s">
        <v>197</v>
      </c>
      <c r="BV399" t="s">
        <v>233</v>
      </c>
      <c r="CA399" t="s">
        <v>194</v>
      </c>
      <c r="CB399" t="s">
        <v>214</v>
      </c>
      <c r="CF399" t="s">
        <v>215</v>
      </c>
      <c r="CH399" t="s">
        <v>214</v>
      </c>
      <c r="CI399" t="s">
        <v>214</v>
      </c>
      <c r="CJ399" t="s">
        <v>214</v>
      </c>
      <c r="CP399" t="s">
        <v>214</v>
      </c>
      <c r="CS399" t="s">
        <v>216</v>
      </c>
      <c r="CV399" t="s">
        <v>214</v>
      </c>
      <c r="CW399" t="s">
        <v>214</v>
      </c>
      <c r="CX399" t="s">
        <v>217</v>
      </c>
      <c r="CY399" t="s">
        <v>214</v>
      </c>
      <c r="DA399" t="s">
        <v>218</v>
      </c>
    </row>
    <row r="400" spans="1:105" x14ac:dyDescent="0.3">
      <c r="A400">
        <v>19639736</v>
      </c>
      <c r="B400">
        <v>9872022</v>
      </c>
      <c r="C400" t="str">
        <f>"141018602470"</f>
        <v>141018602470</v>
      </c>
      <c r="D400" t="s">
        <v>765</v>
      </c>
      <c r="E400" t="s">
        <v>1173</v>
      </c>
      <c r="F400" t="s">
        <v>1174</v>
      </c>
      <c r="G400" s="1">
        <v>41930</v>
      </c>
      <c r="I400" t="s">
        <v>222</v>
      </c>
      <c r="J400" t="s">
        <v>188</v>
      </c>
      <c r="K400" t="s">
        <v>189</v>
      </c>
      <c r="Y400" t="str">
        <f>"2021-08-24T00:00:00"</f>
        <v>2021-08-24T00:00:00</v>
      </c>
      <c r="Z400" t="str">
        <f>"29"</f>
        <v>29</v>
      </c>
      <c r="AA400" t="s">
        <v>224</v>
      </c>
      <c r="AC400" t="s">
        <v>225</v>
      </c>
      <c r="AD400" t="s">
        <v>899</v>
      </c>
      <c r="AE400" t="s">
        <v>243</v>
      </c>
      <c r="AF400" t="s">
        <v>194</v>
      </c>
      <c r="AH400" t="s">
        <v>195</v>
      </c>
      <c r="AI400">
        <v>1</v>
      </c>
      <c r="AJ400" t="s">
        <v>196</v>
      </c>
      <c r="AK400" t="s">
        <v>194</v>
      </c>
      <c r="AL400" t="s">
        <v>197</v>
      </c>
      <c r="AM400" t="s">
        <v>198</v>
      </c>
      <c r="AR400" t="s">
        <v>194</v>
      </c>
      <c r="AS400" t="s">
        <v>199</v>
      </c>
      <c r="AU400" t="s">
        <v>197</v>
      </c>
      <c r="AZ400" t="s">
        <v>214</v>
      </c>
      <c r="BA400" t="s">
        <v>996</v>
      </c>
      <c r="BB400" t="s">
        <v>201</v>
      </c>
      <c r="BD400" t="s">
        <v>1172</v>
      </c>
      <c r="BE400" t="s">
        <v>900</v>
      </c>
      <c r="BF400" t="s">
        <v>197</v>
      </c>
      <c r="BJ400" t="s">
        <v>205</v>
      </c>
      <c r="BK400" t="s">
        <v>206</v>
      </c>
      <c r="BL400" t="s">
        <v>194</v>
      </c>
      <c r="BQ400" s="3">
        <v>45566</v>
      </c>
      <c r="BR400" t="s">
        <v>232</v>
      </c>
      <c r="BT400" t="s">
        <v>197</v>
      </c>
      <c r="BV400" t="s">
        <v>233</v>
      </c>
      <c r="CA400" t="s">
        <v>194</v>
      </c>
      <c r="CB400" t="s">
        <v>214</v>
      </c>
      <c r="CF400" t="s">
        <v>215</v>
      </c>
      <c r="CH400" t="s">
        <v>214</v>
      </c>
      <c r="CI400" t="s">
        <v>214</v>
      </c>
      <c r="CJ400" t="s">
        <v>214</v>
      </c>
      <c r="CP400" t="s">
        <v>214</v>
      </c>
      <c r="CS400" t="s">
        <v>216</v>
      </c>
      <c r="CV400" t="s">
        <v>214</v>
      </c>
      <c r="CW400" t="s">
        <v>214</v>
      </c>
      <c r="CX400" t="s">
        <v>217</v>
      </c>
      <c r="CY400" t="s">
        <v>214</v>
      </c>
      <c r="DA400" t="s">
        <v>218</v>
      </c>
    </row>
    <row r="401" spans="1:105" x14ac:dyDescent="0.3">
      <c r="A401">
        <v>15668359</v>
      </c>
      <c r="B401">
        <v>621248</v>
      </c>
      <c r="C401" t="str">
        <f>"150224505150"</f>
        <v>150224505150</v>
      </c>
      <c r="D401" t="s">
        <v>563</v>
      </c>
      <c r="E401" t="s">
        <v>1124</v>
      </c>
      <c r="F401" t="s">
        <v>289</v>
      </c>
      <c r="G401" s="1">
        <v>42059</v>
      </c>
      <c r="I401" t="s">
        <v>187</v>
      </c>
      <c r="J401" t="s">
        <v>188</v>
      </c>
      <c r="K401" t="s">
        <v>298</v>
      </c>
      <c r="Y401" t="str">
        <f>"2020-08-21T00:00:00"</f>
        <v>2020-08-21T00:00:00</v>
      </c>
      <c r="Z401" t="str">
        <f>"19"</f>
        <v>19</v>
      </c>
      <c r="AA401" t="s">
        <v>190</v>
      </c>
      <c r="AC401" t="s">
        <v>225</v>
      </c>
      <c r="AD401" t="s">
        <v>899</v>
      </c>
      <c r="AE401" t="s">
        <v>193</v>
      </c>
      <c r="AF401" t="s">
        <v>194</v>
      </c>
      <c r="AH401" t="s">
        <v>195</v>
      </c>
      <c r="AI401">
        <v>3</v>
      </c>
      <c r="AJ401" t="s">
        <v>196</v>
      </c>
      <c r="AK401" t="s">
        <v>194</v>
      </c>
      <c r="AL401" t="s">
        <v>197</v>
      </c>
      <c r="AM401" t="s">
        <v>811</v>
      </c>
      <c r="AR401" t="s">
        <v>214</v>
      </c>
      <c r="AU401" t="s">
        <v>197</v>
      </c>
      <c r="AZ401" t="s">
        <v>194</v>
      </c>
      <c r="BA401" t="s">
        <v>200</v>
      </c>
      <c r="BB401" t="s">
        <v>201</v>
      </c>
      <c r="BD401" t="s">
        <v>200</v>
      </c>
      <c r="BE401" t="s">
        <v>900</v>
      </c>
      <c r="BF401" t="s">
        <v>197</v>
      </c>
      <c r="BJ401" t="s">
        <v>205</v>
      </c>
      <c r="BK401" t="s">
        <v>206</v>
      </c>
      <c r="BL401" t="s">
        <v>194</v>
      </c>
      <c r="BO401" t="s">
        <v>216</v>
      </c>
      <c r="BP401" t="s">
        <v>216</v>
      </c>
      <c r="BQ401" t="s">
        <v>280</v>
      </c>
      <c r="BR401" t="s">
        <v>232</v>
      </c>
      <c r="BT401" t="s">
        <v>197</v>
      </c>
      <c r="BV401" t="s">
        <v>233</v>
      </c>
      <c r="CA401" t="s">
        <v>194</v>
      </c>
      <c r="CB401" t="s">
        <v>214</v>
      </c>
      <c r="CF401" t="s">
        <v>215</v>
      </c>
      <c r="CH401" t="s">
        <v>214</v>
      </c>
      <c r="CI401" t="s">
        <v>214</v>
      </c>
      <c r="CJ401" t="s">
        <v>214</v>
      </c>
      <c r="CP401" t="s">
        <v>214</v>
      </c>
      <c r="CS401" t="s">
        <v>216</v>
      </c>
      <c r="CV401" t="s">
        <v>214</v>
      </c>
      <c r="CW401" t="s">
        <v>214</v>
      </c>
      <c r="CX401" t="s">
        <v>217</v>
      </c>
      <c r="CY401" t="s">
        <v>214</v>
      </c>
      <c r="DA401" t="s">
        <v>218</v>
      </c>
    </row>
    <row r="402" spans="1:105" x14ac:dyDescent="0.3">
      <c r="A402">
        <v>15668382</v>
      </c>
      <c r="B402">
        <v>6264405</v>
      </c>
      <c r="C402" t="str">
        <f>"140326503454"</f>
        <v>140326503454</v>
      </c>
      <c r="D402" t="s">
        <v>1175</v>
      </c>
      <c r="E402" t="s">
        <v>385</v>
      </c>
      <c r="F402" t="s">
        <v>323</v>
      </c>
      <c r="G402" s="1">
        <v>41724</v>
      </c>
      <c r="I402" t="s">
        <v>187</v>
      </c>
      <c r="J402" t="s">
        <v>188</v>
      </c>
      <c r="K402" t="s">
        <v>223</v>
      </c>
      <c r="Y402" t="str">
        <f>"2020-08-21T00:00:00"</f>
        <v>2020-08-21T00:00:00</v>
      </c>
      <c r="Z402" t="str">
        <f>"19"</f>
        <v>19</v>
      </c>
      <c r="AA402" t="s">
        <v>190</v>
      </c>
      <c r="AC402" t="s">
        <v>225</v>
      </c>
      <c r="AD402" t="s">
        <v>899</v>
      </c>
      <c r="AE402" t="s">
        <v>227</v>
      </c>
      <c r="AF402" t="s">
        <v>194</v>
      </c>
      <c r="AH402" t="s">
        <v>195</v>
      </c>
      <c r="AI402">
        <v>3</v>
      </c>
      <c r="AJ402" t="s">
        <v>196</v>
      </c>
      <c r="AK402" t="s">
        <v>194</v>
      </c>
      <c r="AL402" t="s">
        <v>197</v>
      </c>
      <c r="AM402" t="s">
        <v>198</v>
      </c>
      <c r="AR402" t="s">
        <v>194</v>
      </c>
      <c r="AS402" t="s">
        <v>199</v>
      </c>
      <c r="AU402" t="s">
        <v>197</v>
      </c>
      <c r="AZ402" t="s">
        <v>194</v>
      </c>
      <c r="BB402" t="s">
        <v>201</v>
      </c>
      <c r="BE402" t="s">
        <v>900</v>
      </c>
      <c r="BF402" t="s">
        <v>197</v>
      </c>
      <c r="BJ402" t="s">
        <v>205</v>
      </c>
      <c r="BK402" t="s">
        <v>206</v>
      </c>
      <c r="BL402" t="s">
        <v>194</v>
      </c>
      <c r="BO402" t="s">
        <v>200</v>
      </c>
      <c r="BP402" t="s">
        <v>200</v>
      </c>
      <c r="BQ402" t="s">
        <v>280</v>
      </c>
      <c r="BR402" t="s">
        <v>232</v>
      </c>
      <c r="BT402" t="s">
        <v>197</v>
      </c>
      <c r="BV402" t="s">
        <v>233</v>
      </c>
      <c r="CA402" t="s">
        <v>194</v>
      </c>
      <c r="CB402" t="s">
        <v>214</v>
      </c>
      <c r="CF402" t="s">
        <v>215</v>
      </c>
      <c r="CH402" t="s">
        <v>214</v>
      </c>
      <c r="CI402" t="s">
        <v>214</v>
      </c>
      <c r="CJ402" t="s">
        <v>214</v>
      </c>
      <c r="CP402" t="s">
        <v>214</v>
      </c>
      <c r="CS402" t="s">
        <v>216</v>
      </c>
      <c r="CV402" t="s">
        <v>214</v>
      </c>
      <c r="CW402" t="s">
        <v>214</v>
      </c>
      <c r="CX402" t="s">
        <v>217</v>
      </c>
      <c r="CY402" t="s">
        <v>214</v>
      </c>
      <c r="DA402" t="s">
        <v>218</v>
      </c>
    </row>
    <row r="403" spans="1:105" x14ac:dyDescent="0.3">
      <c r="A403">
        <v>19703165</v>
      </c>
      <c r="B403">
        <v>5795998</v>
      </c>
      <c r="C403" t="str">
        <f>"091006652201"</f>
        <v>091006652201</v>
      </c>
      <c r="D403" t="s">
        <v>1027</v>
      </c>
      <c r="E403" t="s">
        <v>1176</v>
      </c>
      <c r="F403" t="s">
        <v>1177</v>
      </c>
      <c r="G403" s="1">
        <v>40092</v>
      </c>
      <c r="I403" t="s">
        <v>222</v>
      </c>
      <c r="J403" t="s">
        <v>188</v>
      </c>
      <c r="K403" t="s">
        <v>189</v>
      </c>
      <c r="Y403" t="str">
        <f>"2021-08-05T00:00:00"</f>
        <v>2021-08-05T00:00:00</v>
      </c>
      <c r="Z403" t="str">
        <f>"25"</f>
        <v>25</v>
      </c>
      <c r="AA403" t="s">
        <v>190</v>
      </c>
      <c r="AC403" t="s">
        <v>255</v>
      </c>
      <c r="AD403" t="s">
        <v>242</v>
      </c>
      <c r="AE403" t="s">
        <v>243</v>
      </c>
      <c r="AF403" t="s">
        <v>194</v>
      </c>
      <c r="AH403" t="s">
        <v>195</v>
      </c>
      <c r="AI403">
        <v>2</v>
      </c>
      <c r="AJ403" t="s">
        <v>196</v>
      </c>
      <c r="AK403" t="s">
        <v>194</v>
      </c>
      <c r="AL403" t="s">
        <v>197</v>
      </c>
      <c r="AM403" t="s">
        <v>198</v>
      </c>
      <c r="AR403" t="s">
        <v>194</v>
      </c>
      <c r="AS403" t="s">
        <v>199</v>
      </c>
      <c r="AU403" t="s">
        <v>197</v>
      </c>
      <c r="AZ403" t="s">
        <v>214</v>
      </c>
      <c r="BA403" t="s">
        <v>996</v>
      </c>
      <c r="BB403" t="s">
        <v>201</v>
      </c>
      <c r="BE403" t="s">
        <v>229</v>
      </c>
      <c r="BF403" t="s">
        <v>197</v>
      </c>
      <c r="BG403" t="s">
        <v>230</v>
      </c>
      <c r="BH403" t="s">
        <v>307</v>
      </c>
      <c r="BJ403" t="s">
        <v>205</v>
      </c>
      <c r="BK403" t="s">
        <v>206</v>
      </c>
      <c r="BL403" t="s">
        <v>194</v>
      </c>
      <c r="BR403" t="s">
        <v>232</v>
      </c>
      <c r="BT403" t="s">
        <v>197</v>
      </c>
      <c r="BV403" t="s">
        <v>233</v>
      </c>
      <c r="CA403" t="s">
        <v>194</v>
      </c>
      <c r="CB403" t="s">
        <v>214</v>
      </c>
      <c r="CF403" t="s">
        <v>215</v>
      </c>
      <c r="CH403" t="s">
        <v>214</v>
      </c>
      <c r="CI403" t="s">
        <v>214</v>
      </c>
      <c r="CJ403" t="s">
        <v>214</v>
      </c>
      <c r="CP403" t="s">
        <v>214</v>
      </c>
      <c r="CS403" t="s">
        <v>216</v>
      </c>
      <c r="CV403" t="s">
        <v>214</v>
      </c>
      <c r="CW403" t="s">
        <v>214</v>
      </c>
      <c r="CX403" t="s">
        <v>217</v>
      </c>
      <c r="CY403" t="s">
        <v>214</v>
      </c>
      <c r="DA403" t="s">
        <v>218</v>
      </c>
    </row>
    <row r="404" spans="1:105" x14ac:dyDescent="0.3">
      <c r="A404">
        <v>15668404</v>
      </c>
      <c r="B404">
        <v>9110792</v>
      </c>
      <c r="C404" t="str">
        <f>"140627506821"</f>
        <v>140627506821</v>
      </c>
      <c r="D404" t="s">
        <v>1178</v>
      </c>
      <c r="E404" t="s">
        <v>847</v>
      </c>
      <c r="F404" t="s">
        <v>1179</v>
      </c>
      <c r="G404" s="1">
        <v>41817</v>
      </c>
      <c r="I404" t="s">
        <v>187</v>
      </c>
      <c r="J404" t="s">
        <v>188</v>
      </c>
      <c r="K404" t="s">
        <v>189</v>
      </c>
      <c r="Y404" t="str">
        <f>"2020-08-21T00:00:00"</f>
        <v>2020-08-21T00:00:00</v>
      </c>
      <c r="Z404" t="str">
        <f>"19"</f>
        <v>19</v>
      </c>
      <c r="AA404" t="s">
        <v>190</v>
      </c>
      <c r="AC404" t="s">
        <v>225</v>
      </c>
      <c r="AD404" t="s">
        <v>899</v>
      </c>
      <c r="AE404" t="s">
        <v>227</v>
      </c>
      <c r="AF404" t="s">
        <v>194</v>
      </c>
      <c r="AH404" t="s">
        <v>195</v>
      </c>
      <c r="AI404">
        <v>3</v>
      </c>
      <c r="AJ404" t="s">
        <v>196</v>
      </c>
      <c r="AK404" t="s">
        <v>194</v>
      </c>
      <c r="AL404" t="s">
        <v>197</v>
      </c>
      <c r="AM404" t="s">
        <v>198</v>
      </c>
      <c r="AR404" t="s">
        <v>194</v>
      </c>
      <c r="AS404" t="s">
        <v>199</v>
      </c>
      <c r="AU404" t="s">
        <v>197</v>
      </c>
      <c r="AZ404" t="s">
        <v>194</v>
      </c>
      <c r="BA404" t="s">
        <v>200</v>
      </c>
      <c r="BB404" t="s">
        <v>201</v>
      </c>
      <c r="BD404" t="s">
        <v>200</v>
      </c>
      <c r="BE404" t="s">
        <v>900</v>
      </c>
      <c r="BF404" t="s">
        <v>197</v>
      </c>
      <c r="BJ404" t="s">
        <v>205</v>
      </c>
      <c r="BK404" t="s">
        <v>206</v>
      </c>
      <c r="BL404" t="s">
        <v>194</v>
      </c>
      <c r="BO404" t="s">
        <v>200</v>
      </c>
      <c r="BP404" t="s">
        <v>200</v>
      </c>
      <c r="BQ404" t="s">
        <v>280</v>
      </c>
      <c r="BR404" t="s">
        <v>232</v>
      </c>
      <c r="BT404" t="s">
        <v>197</v>
      </c>
      <c r="BV404" t="s">
        <v>233</v>
      </c>
      <c r="CA404" t="s">
        <v>194</v>
      </c>
      <c r="CB404" t="s">
        <v>214</v>
      </c>
      <c r="CF404" t="s">
        <v>215</v>
      </c>
      <c r="CH404" t="s">
        <v>214</v>
      </c>
      <c r="CI404" t="s">
        <v>214</v>
      </c>
      <c r="CJ404" t="s">
        <v>214</v>
      </c>
      <c r="CP404" t="s">
        <v>214</v>
      </c>
      <c r="CQ404" t="str">
        <f>"2019-09-03T00:00:00"</f>
        <v>2019-09-03T00:00:00</v>
      </c>
      <c r="CS404" t="s">
        <v>216</v>
      </c>
      <c r="CV404" t="s">
        <v>214</v>
      </c>
      <c r="CW404" t="s">
        <v>214</v>
      </c>
      <c r="CX404" t="s">
        <v>217</v>
      </c>
      <c r="CY404" t="s">
        <v>214</v>
      </c>
      <c r="DA404" t="s">
        <v>218</v>
      </c>
    </row>
    <row r="405" spans="1:105" x14ac:dyDescent="0.3">
      <c r="A405">
        <v>15668461</v>
      </c>
      <c r="B405">
        <v>9743424</v>
      </c>
      <c r="C405" t="str">
        <f>"140915506222"</f>
        <v>140915506222</v>
      </c>
      <c r="D405" t="s">
        <v>1180</v>
      </c>
      <c r="E405" t="s">
        <v>240</v>
      </c>
      <c r="F405" t="s">
        <v>1181</v>
      </c>
      <c r="G405" s="1">
        <v>41897</v>
      </c>
      <c r="I405" t="s">
        <v>187</v>
      </c>
      <c r="J405" t="s">
        <v>188</v>
      </c>
      <c r="K405" t="s">
        <v>223</v>
      </c>
      <c r="Y405" t="str">
        <f>"2020-08-21T00:00:00"</f>
        <v>2020-08-21T00:00:00</v>
      </c>
      <c r="Z405" t="str">
        <f>"19"</f>
        <v>19</v>
      </c>
      <c r="AA405" t="s">
        <v>190</v>
      </c>
      <c r="AC405" t="s">
        <v>225</v>
      </c>
      <c r="AD405" t="s">
        <v>899</v>
      </c>
      <c r="AE405" t="s">
        <v>227</v>
      </c>
      <c r="AF405" t="s">
        <v>194</v>
      </c>
      <c r="AH405" t="s">
        <v>195</v>
      </c>
      <c r="AI405">
        <v>3</v>
      </c>
      <c r="AJ405" t="s">
        <v>196</v>
      </c>
      <c r="AK405" t="s">
        <v>194</v>
      </c>
      <c r="AL405" t="s">
        <v>197</v>
      </c>
      <c r="AM405" t="s">
        <v>198</v>
      </c>
      <c r="AR405" t="s">
        <v>194</v>
      </c>
      <c r="AS405" t="s">
        <v>199</v>
      </c>
      <c r="AU405" t="s">
        <v>197</v>
      </c>
      <c r="AZ405" t="s">
        <v>194</v>
      </c>
      <c r="BA405" t="s">
        <v>200</v>
      </c>
      <c r="BB405" t="s">
        <v>201</v>
      </c>
      <c r="BD405" t="s">
        <v>200</v>
      </c>
      <c r="BE405" t="s">
        <v>900</v>
      </c>
      <c r="BF405" t="s">
        <v>197</v>
      </c>
      <c r="BJ405" t="s">
        <v>205</v>
      </c>
      <c r="BK405" t="s">
        <v>206</v>
      </c>
      <c r="BL405" t="s">
        <v>194</v>
      </c>
      <c r="BO405" t="s">
        <v>200</v>
      </c>
      <c r="BP405" t="s">
        <v>200</v>
      </c>
      <c r="BQ405" t="s">
        <v>280</v>
      </c>
      <c r="BR405" t="s">
        <v>232</v>
      </c>
      <c r="BT405" t="s">
        <v>197</v>
      </c>
      <c r="BV405" t="s">
        <v>233</v>
      </c>
      <c r="CA405" t="s">
        <v>194</v>
      </c>
      <c r="CB405" t="s">
        <v>214</v>
      </c>
      <c r="CF405" t="s">
        <v>215</v>
      </c>
      <c r="CH405" t="s">
        <v>214</v>
      </c>
      <c r="CI405" t="s">
        <v>214</v>
      </c>
      <c r="CJ405" t="s">
        <v>214</v>
      </c>
      <c r="CP405" t="s">
        <v>214</v>
      </c>
      <c r="CS405" t="s">
        <v>216</v>
      </c>
      <c r="CV405" t="s">
        <v>214</v>
      </c>
      <c r="CW405" t="s">
        <v>214</v>
      </c>
      <c r="CX405" t="s">
        <v>217</v>
      </c>
      <c r="CY405" t="s">
        <v>214</v>
      </c>
      <c r="DA405" t="s">
        <v>218</v>
      </c>
    </row>
    <row r="406" spans="1:105" x14ac:dyDescent="0.3">
      <c r="A406">
        <v>15699916</v>
      </c>
      <c r="B406">
        <v>5204244</v>
      </c>
      <c r="C406" t="str">
        <f>"101024500681"</f>
        <v>101024500681</v>
      </c>
      <c r="D406" t="s">
        <v>1182</v>
      </c>
      <c r="E406" t="s">
        <v>363</v>
      </c>
      <c r="F406" t="s">
        <v>529</v>
      </c>
      <c r="G406" s="1">
        <v>40475</v>
      </c>
      <c r="I406" t="s">
        <v>187</v>
      </c>
      <c r="J406" t="s">
        <v>188</v>
      </c>
      <c r="K406" t="s">
        <v>298</v>
      </c>
      <c r="Y406" t="str">
        <f>"2020-08-21T00:00:00"</f>
        <v>2020-08-21T00:00:00</v>
      </c>
      <c r="Z406" t="str">
        <f>"18"</f>
        <v>18</v>
      </c>
      <c r="AA406" t="s">
        <v>190</v>
      </c>
      <c r="AC406" t="s">
        <v>237</v>
      </c>
      <c r="AD406" t="s">
        <v>261</v>
      </c>
      <c r="AE406" t="s">
        <v>243</v>
      </c>
      <c r="AF406" t="s">
        <v>194</v>
      </c>
      <c r="AH406" t="s">
        <v>195</v>
      </c>
      <c r="AI406">
        <v>3</v>
      </c>
      <c r="AJ406" t="s">
        <v>196</v>
      </c>
      <c r="AK406" t="s">
        <v>194</v>
      </c>
      <c r="AL406" t="s">
        <v>197</v>
      </c>
      <c r="AM406" t="s">
        <v>198</v>
      </c>
      <c r="AR406" t="s">
        <v>194</v>
      </c>
      <c r="AS406" t="s">
        <v>199</v>
      </c>
      <c r="AU406" t="s">
        <v>197</v>
      </c>
      <c r="AZ406" t="s">
        <v>194</v>
      </c>
      <c r="BA406" t="s">
        <v>200</v>
      </c>
      <c r="BB406" t="s">
        <v>201</v>
      </c>
      <c r="BD406" t="s">
        <v>200</v>
      </c>
      <c r="BE406" t="s">
        <v>229</v>
      </c>
      <c r="BF406" t="s">
        <v>197</v>
      </c>
      <c r="BG406" t="s">
        <v>230</v>
      </c>
      <c r="BH406" t="s">
        <v>307</v>
      </c>
      <c r="BJ406" t="s">
        <v>205</v>
      </c>
      <c r="BK406" t="s">
        <v>206</v>
      </c>
      <c r="BL406" t="s">
        <v>194</v>
      </c>
      <c r="BO406" t="s">
        <v>216</v>
      </c>
      <c r="BP406" t="s">
        <v>216</v>
      </c>
      <c r="BQ406" t="s">
        <v>731</v>
      </c>
      <c r="BR406" t="s">
        <v>232</v>
      </c>
      <c r="BT406" t="s">
        <v>197</v>
      </c>
      <c r="BV406" t="s">
        <v>233</v>
      </c>
      <c r="CA406" t="s">
        <v>194</v>
      </c>
      <c r="CB406" t="s">
        <v>214</v>
      </c>
      <c r="CF406" t="s">
        <v>215</v>
      </c>
      <c r="CH406" t="s">
        <v>214</v>
      </c>
      <c r="CI406" t="s">
        <v>214</v>
      </c>
      <c r="CJ406" t="s">
        <v>214</v>
      </c>
      <c r="CP406" t="s">
        <v>214</v>
      </c>
      <c r="CS406" t="s">
        <v>216</v>
      </c>
      <c r="CV406" t="s">
        <v>214</v>
      </c>
      <c r="CW406" t="s">
        <v>214</v>
      </c>
      <c r="CX406" t="s">
        <v>217</v>
      </c>
      <c r="CY406" t="s">
        <v>214</v>
      </c>
      <c r="DA406" t="s">
        <v>218</v>
      </c>
    </row>
    <row r="407" spans="1:105" x14ac:dyDescent="0.3">
      <c r="A407">
        <v>19773529</v>
      </c>
      <c r="B407">
        <v>6562285</v>
      </c>
      <c r="C407" t="str">
        <f>"140306501210"</f>
        <v>140306501210</v>
      </c>
      <c r="D407" t="s">
        <v>1183</v>
      </c>
      <c r="E407" t="s">
        <v>1184</v>
      </c>
      <c r="F407" t="s">
        <v>1185</v>
      </c>
      <c r="G407" s="1">
        <v>41704</v>
      </c>
      <c r="I407" t="s">
        <v>187</v>
      </c>
      <c r="J407" t="s">
        <v>188</v>
      </c>
      <c r="K407" t="s">
        <v>189</v>
      </c>
      <c r="Y407" t="str">
        <f>"2021-08-27T00:00:00"</f>
        <v>2021-08-27T00:00:00</v>
      </c>
      <c r="Z407" t="str">
        <f>"30"</f>
        <v>30</v>
      </c>
      <c r="AA407" t="s">
        <v>835</v>
      </c>
      <c r="AC407" t="s">
        <v>255</v>
      </c>
      <c r="AD407" t="s">
        <v>815</v>
      </c>
      <c r="AE407" t="s">
        <v>193</v>
      </c>
      <c r="AF407" t="s">
        <v>194</v>
      </c>
      <c r="AH407" t="s">
        <v>195</v>
      </c>
      <c r="AI407">
        <v>1</v>
      </c>
      <c r="AJ407" t="s">
        <v>196</v>
      </c>
      <c r="AK407" t="s">
        <v>194</v>
      </c>
      <c r="AL407" t="s">
        <v>197</v>
      </c>
      <c r="AM407" t="s">
        <v>198</v>
      </c>
      <c r="AR407" t="s">
        <v>194</v>
      </c>
      <c r="AS407" t="s">
        <v>199</v>
      </c>
      <c r="AU407" t="s">
        <v>197</v>
      </c>
      <c r="AZ407" t="s">
        <v>214</v>
      </c>
      <c r="BA407" t="s">
        <v>996</v>
      </c>
      <c r="BB407" t="s">
        <v>201</v>
      </c>
      <c r="BD407" t="s">
        <v>1172</v>
      </c>
      <c r="BE407" t="s">
        <v>202</v>
      </c>
      <c r="BF407" t="s">
        <v>197</v>
      </c>
      <c r="BG407" t="s">
        <v>230</v>
      </c>
      <c r="BH407" t="s">
        <v>400</v>
      </c>
      <c r="BJ407" t="s">
        <v>205</v>
      </c>
      <c r="BK407" t="s">
        <v>206</v>
      </c>
      <c r="BL407" t="s">
        <v>194</v>
      </c>
      <c r="BQ407" t="s">
        <v>286</v>
      </c>
      <c r="BR407" t="s">
        <v>232</v>
      </c>
      <c r="BT407" t="s">
        <v>197</v>
      </c>
      <c r="BV407" t="s">
        <v>233</v>
      </c>
      <c r="CA407" t="s">
        <v>194</v>
      </c>
      <c r="CB407" t="s">
        <v>214</v>
      </c>
      <c r="CF407" t="s">
        <v>215</v>
      </c>
      <c r="CH407" t="s">
        <v>214</v>
      </c>
      <c r="CI407" t="s">
        <v>214</v>
      </c>
      <c r="CJ407" t="s">
        <v>214</v>
      </c>
      <c r="CP407" t="s">
        <v>214</v>
      </c>
      <c r="CS407" t="s">
        <v>216</v>
      </c>
      <c r="CV407" t="s">
        <v>214</v>
      </c>
      <c r="CW407" t="s">
        <v>214</v>
      </c>
      <c r="CX407" t="s">
        <v>217</v>
      </c>
      <c r="CY407" t="s">
        <v>214</v>
      </c>
      <c r="DA407" t="s">
        <v>218</v>
      </c>
    </row>
    <row r="408" spans="1:105" x14ac:dyDescent="0.3">
      <c r="A408">
        <v>15863196</v>
      </c>
      <c r="B408">
        <v>6537831</v>
      </c>
      <c r="C408" t="str">
        <f>"130910605955"</f>
        <v>130910605955</v>
      </c>
      <c r="D408" t="s">
        <v>1186</v>
      </c>
      <c r="E408" t="s">
        <v>1187</v>
      </c>
      <c r="F408" t="s">
        <v>379</v>
      </c>
      <c r="G408" s="1">
        <v>41527</v>
      </c>
      <c r="I408" t="s">
        <v>222</v>
      </c>
      <c r="J408" t="s">
        <v>188</v>
      </c>
      <c r="K408" t="s">
        <v>223</v>
      </c>
      <c r="Y408" t="str">
        <f>"2020-08-27T00:00:00"</f>
        <v>2020-08-27T00:00:00</v>
      </c>
      <c r="Z408" t="str">
        <f>"21"</f>
        <v>21</v>
      </c>
      <c r="AA408" t="s">
        <v>224</v>
      </c>
      <c r="AC408" t="s">
        <v>225</v>
      </c>
      <c r="AD408" t="s">
        <v>615</v>
      </c>
      <c r="AE408" t="s">
        <v>227</v>
      </c>
      <c r="AF408" t="s">
        <v>194</v>
      </c>
      <c r="AH408" t="s">
        <v>195</v>
      </c>
      <c r="AI408">
        <v>1</v>
      </c>
      <c r="AJ408" t="s">
        <v>196</v>
      </c>
      <c r="AK408" t="s">
        <v>194</v>
      </c>
      <c r="AL408" t="s">
        <v>197</v>
      </c>
      <c r="AM408" t="s">
        <v>198</v>
      </c>
      <c r="AR408" t="s">
        <v>194</v>
      </c>
      <c r="AS408" t="s">
        <v>199</v>
      </c>
      <c r="AU408" t="s">
        <v>197</v>
      </c>
      <c r="AZ408" t="s">
        <v>194</v>
      </c>
      <c r="BA408" t="s">
        <v>200</v>
      </c>
      <c r="BB408" t="s">
        <v>201</v>
      </c>
      <c r="BD408" t="s">
        <v>200</v>
      </c>
      <c r="BE408" t="s">
        <v>244</v>
      </c>
      <c r="BF408" t="s">
        <v>197</v>
      </c>
      <c r="BG408" t="s">
        <v>238</v>
      </c>
      <c r="BH408">
        <v>5</v>
      </c>
      <c r="BJ408" t="s">
        <v>205</v>
      </c>
      <c r="BK408" t="s">
        <v>206</v>
      </c>
      <c r="BL408" t="s">
        <v>194</v>
      </c>
      <c r="BO408" t="s">
        <v>200</v>
      </c>
      <c r="BP408" t="s">
        <v>200</v>
      </c>
      <c r="BQ408" t="s">
        <v>280</v>
      </c>
      <c r="BR408" t="s">
        <v>232</v>
      </c>
      <c r="BT408" t="s">
        <v>197</v>
      </c>
      <c r="BV408" t="s">
        <v>471</v>
      </c>
      <c r="BW408" t="s">
        <v>416</v>
      </c>
      <c r="BX408" t="s">
        <v>539</v>
      </c>
      <c r="BY408" t="s">
        <v>534</v>
      </c>
      <c r="BZ408" t="s">
        <v>845</v>
      </c>
      <c r="CA408" t="s">
        <v>194</v>
      </c>
      <c r="CB408" t="s">
        <v>214</v>
      </c>
      <c r="CF408" t="s">
        <v>215</v>
      </c>
      <c r="CH408" t="s">
        <v>214</v>
      </c>
      <c r="CI408" t="s">
        <v>214</v>
      </c>
      <c r="CJ408" t="s">
        <v>214</v>
      </c>
      <c r="CP408" t="s">
        <v>214</v>
      </c>
      <c r="CS408" t="s">
        <v>216</v>
      </c>
      <c r="CV408" t="s">
        <v>214</v>
      </c>
      <c r="CW408" t="s">
        <v>214</v>
      </c>
      <c r="CX408" t="s">
        <v>217</v>
      </c>
      <c r="CY408" t="s">
        <v>214</v>
      </c>
      <c r="DA408" t="s">
        <v>218</v>
      </c>
    </row>
    <row r="409" spans="1:105" x14ac:dyDescent="0.3">
      <c r="A409">
        <v>15922128</v>
      </c>
      <c r="B409">
        <v>48024</v>
      </c>
      <c r="C409" t="str">
        <f>"120212601748"</f>
        <v>120212601748</v>
      </c>
      <c r="D409" t="s">
        <v>1188</v>
      </c>
      <c r="E409" t="s">
        <v>1006</v>
      </c>
      <c r="F409" t="s">
        <v>358</v>
      </c>
      <c r="G409" s="1">
        <v>40951</v>
      </c>
      <c r="I409" t="s">
        <v>222</v>
      </c>
      <c r="J409" t="s">
        <v>188</v>
      </c>
      <c r="K409" t="s">
        <v>189</v>
      </c>
      <c r="Y409" t="str">
        <f>"2020-09-01T00:00:00"</f>
        <v>2020-09-01T00:00:00</v>
      </c>
      <c r="Z409" t="str">
        <f>"22"</f>
        <v>22</v>
      </c>
      <c r="AA409" t="s">
        <v>190</v>
      </c>
      <c r="AC409" t="s">
        <v>191</v>
      </c>
      <c r="AD409" t="s">
        <v>285</v>
      </c>
      <c r="AE409" t="s">
        <v>193</v>
      </c>
      <c r="AF409" t="s">
        <v>194</v>
      </c>
      <c r="AH409" t="s">
        <v>195</v>
      </c>
      <c r="AI409">
        <v>2</v>
      </c>
      <c r="AJ409" t="s">
        <v>196</v>
      </c>
      <c r="AK409" t="s">
        <v>194</v>
      </c>
      <c r="AL409" t="s">
        <v>197</v>
      </c>
      <c r="AM409" t="s">
        <v>198</v>
      </c>
      <c r="AR409" t="s">
        <v>194</v>
      </c>
      <c r="AS409" t="s">
        <v>199</v>
      </c>
      <c r="AU409" t="s">
        <v>197</v>
      </c>
      <c r="AZ409" t="s">
        <v>194</v>
      </c>
      <c r="BB409" t="s">
        <v>201</v>
      </c>
      <c r="BD409" t="s">
        <v>200</v>
      </c>
      <c r="BE409" t="s">
        <v>229</v>
      </c>
      <c r="BF409" t="s">
        <v>197</v>
      </c>
      <c r="BG409" t="s">
        <v>269</v>
      </c>
      <c r="BH409" t="s">
        <v>270</v>
      </c>
      <c r="BJ409" t="s">
        <v>205</v>
      </c>
      <c r="BK409" t="s">
        <v>206</v>
      </c>
      <c r="BL409" t="s">
        <v>194</v>
      </c>
      <c r="BO409" t="s">
        <v>216</v>
      </c>
      <c r="BP409" t="s">
        <v>216</v>
      </c>
      <c r="BQ409" t="s">
        <v>271</v>
      </c>
      <c r="BR409" t="s">
        <v>232</v>
      </c>
      <c r="BT409" t="s">
        <v>197</v>
      </c>
      <c r="BV409" t="s">
        <v>233</v>
      </c>
      <c r="CA409" t="s">
        <v>214</v>
      </c>
      <c r="CB409" t="s">
        <v>214</v>
      </c>
      <c r="CF409" t="s">
        <v>215</v>
      </c>
      <c r="CH409" t="s">
        <v>214</v>
      </c>
      <c r="CI409" t="s">
        <v>214</v>
      </c>
      <c r="CJ409" t="s">
        <v>214</v>
      </c>
      <c r="CP409" t="s">
        <v>214</v>
      </c>
      <c r="CS409" t="s">
        <v>216</v>
      </c>
      <c r="CV409" t="s">
        <v>214</v>
      </c>
      <c r="CW409" t="s">
        <v>214</v>
      </c>
      <c r="CX409" t="s">
        <v>217</v>
      </c>
      <c r="CY409" t="s">
        <v>214</v>
      </c>
      <c r="DA409" t="s">
        <v>218</v>
      </c>
    </row>
    <row r="410" spans="1:105" x14ac:dyDescent="0.3">
      <c r="A410">
        <v>16029940</v>
      </c>
      <c r="B410">
        <v>6388298</v>
      </c>
      <c r="C410" t="str">
        <f>"140413600667"</f>
        <v>140413600667</v>
      </c>
      <c r="D410" t="s">
        <v>1189</v>
      </c>
      <c r="E410" t="s">
        <v>438</v>
      </c>
      <c r="F410" t="s">
        <v>1190</v>
      </c>
      <c r="G410" s="1">
        <v>41742</v>
      </c>
      <c r="I410" t="s">
        <v>222</v>
      </c>
      <c r="J410" t="s">
        <v>188</v>
      </c>
      <c r="K410" t="s">
        <v>530</v>
      </c>
      <c r="Y410" t="str">
        <f>"2020-07-30T00:00:00"</f>
        <v>2020-07-30T00:00:00</v>
      </c>
      <c r="Z410" t="str">
        <f>"13"</f>
        <v>13</v>
      </c>
      <c r="AA410" t="s">
        <v>190</v>
      </c>
      <c r="AC410" t="s">
        <v>225</v>
      </c>
      <c r="AD410" t="s">
        <v>815</v>
      </c>
      <c r="AE410" t="s">
        <v>193</v>
      </c>
      <c r="AF410" t="s">
        <v>194</v>
      </c>
      <c r="AH410" t="s">
        <v>195</v>
      </c>
      <c r="AI410">
        <v>1</v>
      </c>
      <c r="AJ410" t="s">
        <v>196</v>
      </c>
      <c r="AK410" t="s">
        <v>194</v>
      </c>
      <c r="AL410" t="s">
        <v>197</v>
      </c>
      <c r="AM410" t="s">
        <v>198</v>
      </c>
      <c r="AR410" t="s">
        <v>194</v>
      </c>
      <c r="AS410" t="s">
        <v>199</v>
      </c>
      <c r="AU410" t="s">
        <v>197</v>
      </c>
      <c r="AZ410" t="s">
        <v>194</v>
      </c>
      <c r="BB410" t="s">
        <v>201</v>
      </c>
      <c r="BD410" t="s">
        <v>200</v>
      </c>
      <c r="BE410" t="s">
        <v>229</v>
      </c>
      <c r="BF410" t="s">
        <v>197</v>
      </c>
      <c r="BG410" t="s">
        <v>230</v>
      </c>
      <c r="BH410" t="s">
        <v>307</v>
      </c>
      <c r="BJ410" t="s">
        <v>205</v>
      </c>
      <c r="BK410" t="s">
        <v>206</v>
      </c>
      <c r="BL410" t="s">
        <v>194</v>
      </c>
      <c r="BO410" t="s">
        <v>216</v>
      </c>
      <c r="BP410" t="s">
        <v>216</v>
      </c>
      <c r="BQ410" t="s">
        <v>280</v>
      </c>
      <c r="BR410" t="s">
        <v>232</v>
      </c>
      <c r="BT410" t="s">
        <v>197</v>
      </c>
      <c r="BV410" t="s">
        <v>233</v>
      </c>
      <c r="CA410" t="s">
        <v>194</v>
      </c>
      <c r="CB410" t="s">
        <v>214</v>
      </c>
      <c r="CF410" t="s">
        <v>215</v>
      </c>
      <c r="CH410" t="s">
        <v>214</v>
      </c>
      <c r="CI410" t="s">
        <v>214</v>
      </c>
      <c r="CJ410" t="s">
        <v>214</v>
      </c>
      <c r="CP410" t="s">
        <v>214</v>
      </c>
      <c r="CS410" t="s">
        <v>216</v>
      </c>
      <c r="CV410" t="s">
        <v>214</v>
      </c>
      <c r="CW410" t="s">
        <v>214</v>
      </c>
      <c r="CX410" t="s">
        <v>217</v>
      </c>
      <c r="CY410" t="s">
        <v>214</v>
      </c>
      <c r="DA410" t="s">
        <v>218</v>
      </c>
    </row>
    <row r="411" spans="1:105" x14ac:dyDescent="0.3">
      <c r="A411">
        <v>19872240</v>
      </c>
      <c r="B411">
        <v>44982</v>
      </c>
      <c r="C411" t="str">
        <f>"120425505415"</f>
        <v>120425505415</v>
      </c>
      <c r="D411" t="s">
        <v>1191</v>
      </c>
      <c r="E411" t="s">
        <v>1192</v>
      </c>
      <c r="F411" t="s">
        <v>1193</v>
      </c>
      <c r="G411" s="1">
        <v>41024</v>
      </c>
      <c r="I411" t="s">
        <v>187</v>
      </c>
      <c r="J411" t="s">
        <v>188</v>
      </c>
      <c r="K411" t="s">
        <v>189</v>
      </c>
      <c r="Y411" t="str">
        <f t="shared" ref="Y411:Y417" si="14">"2021-08-27T00:00:00"</f>
        <v>2021-08-27T00:00:00</v>
      </c>
      <c r="Z411" t="str">
        <f t="shared" ref="Z411:Z417" si="15">"30"</f>
        <v>30</v>
      </c>
      <c r="AA411" t="s">
        <v>224</v>
      </c>
      <c r="AC411" t="s">
        <v>237</v>
      </c>
      <c r="AD411" t="s">
        <v>285</v>
      </c>
      <c r="AE411" t="s">
        <v>227</v>
      </c>
      <c r="AF411" t="s">
        <v>194</v>
      </c>
      <c r="AH411" t="s">
        <v>195</v>
      </c>
      <c r="AI411">
        <v>1</v>
      </c>
      <c r="AJ411" t="s">
        <v>196</v>
      </c>
      <c r="AK411" t="s">
        <v>194</v>
      </c>
      <c r="AL411" t="s">
        <v>197</v>
      </c>
      <c r="AM411" t="s">
        <v>198</v>
      </c>
      <c r="AR411" t="s">
        <v>194</v>
      </c>
      <c r="AS411" t="s">
        <v>199</v>
      </c>
      <c r="AU411" t="s">
        <v>197</v>
      </c>
      <c r="AZ411" t="s">
        <v>214</v>
      </c>
      <c r="BA411" t="s">
        <v>996</v>
      </c>
      <c r="BB411" t="s">
        <v>201</v>
      </c>
      <c r="BD411" t="s">
        <v>1172</v>
      </c>
      <c r="BE411" t="s">
        <v>202</v>
      </c>
      <c r="BF411" t="s">
        <v>197</v>
      </c>
      <c r="BG411" t="s">
        <v>230</v>
      </c>
      <c r="BH411" t="s">
        <v>400</v>
      </c>
      <c r="BJ411" t="s">
        <v>205</v>
      </c>
      <c r="BK411" t="s">
        <v>206</v>
      </c>
      <c r="BL411" t="s">
        <v>194</v>
      </c>
      <c r="BQ411" t="s">
        <v>1125</v>
      </c>
      <c r="BR411" t="s">
        <v>232</v>
      </c>
      <c r="BT411" t="s">
        <v>197</v>
      </c>
      <c r="BV411" t="s">
        <v>233</v>
      </c>
      <c r="CA411" t="s">
        <v>194</v>
      </c>
      <c r="CB411" t="s">
        <v>214</v>
      </c>
      <c r="CF411" t="s">
        <v>215</v>
      </c>
      <c r="CH411" t="s">
        <v>214</v>
      </c>
      <c r="CI411" t="s">
        <v>214</v>
      </c>
      <c r="CJ411" t="s">
        <v>214</v>
      </c>
      <c r="CP411" t="s">
        <v>214</v>
      </c>
      <c r="CS411" t="s">
        <v>216</v>
      </c>
      <c r="CV411" t="s">
        <v>214</v>
      </c>
      <c r="CW411" t="s">
        <v>214</v>
      </c>
      <c r="CX411" t="s">
        <v>217</v>
      </c>
      <c r="CY411" t="s">
        <v>214</v>
      </c>
      <c r="DA411" t="s">
        <v>218</v>
      </c>
    </row>
    <row r="412" spans="1:105" x14ac:dyDescent="0.3">
      <c r="A412">
        <v>19917513</v>
      </c>
      <c r="B412">
        <v>932299</v>
      </c>
      <c r="C412" t="str">
        <f>"101102503421"</f>
        <v>101102503421</v>
      </c>
      <c r="D412" t="s">
        <v>1194</v>
      </c>
      <c r="E412" t="s">
        <v>1195</v>
      </c>
      <c r="F412" t="s">
        <v>1196</v>
      </c>
      <c r="G412" s="1">
        <v>40484</v>
      </c>
      <c r="I412" t="s">
        <v>187</v>
      </c>
      <c r="J412" t="s">
        <v>188</v>
      </c>
      <c r="K412" t="s">
        <v>189</v>
      </c>
      <c r="Y412" t="str">
        <f t="shared" si="14"/>
        <v>2021-08-27T00:00:00</v>
      </c>
      <c r="Z412" t="str">
        <f t="shared" si="15"/>
        <v>30</v>
      </c>
      <c r="AA412" t="s">
        <v>835</v>
      </c>
      <c r="AC412" t="s">
        <v>255</v>
      </c>
      <c r="AD412" t="s">
        <v>261</v>
      </c>
      <c r="AE412" t="s">
        <v>227</v>
      </c>
      <c r="AF412" t="s">
        <v>194</v>
      </c>
      <c r="AH412" t="s">
        <v>195</v>
      </c>
      <c r="AI412">
        <v>2</v>
      </c>
      <c r="AJ412" t="s">
        <v>196</v>
      </c>
      <c r="AK412" t="s">
        <v>194</v>
      </c>
      <c r="AL412" t="s">
        <v>197</v>
      </c>
      <c r="AM412" t="s">
        <v>198</v>
      </c>
      <c r="AR412" t="s">
        <v>194</v>
      </c>
      <c r="AS412" t="s">
        <v>199</v>
      </c>
      <c r="AU412" t="s">
        <v>197</v>
      </c>
      <c r="AZ412" t="s">
        <v>214</v>
      </c>
      <c r="BA412" t="s">
        <v>996</v>
      </c>
      <c r="BB412" t="s">
        <v>201</v>
      </c>
      <c r="BD412" t="s">
        <v>1172</v>
      </c>
      <c r="BE412" t="s">
        <v>202</v>
      </c>
      <c r="BF412" t="s">
        <v>197</v>
      </c>
      <c r="BG412" t="s">
        <v>230</v>
      </c>
      <c r="BH412" t="s">
        <v>400</v>
      </c>
      <c r="BJ412" t="s">
        <v>205</v>
      </c>
      <c r="BK412" t="s">
        <v>206</v>
      </c>
      <c r="BL412" t="s">
        <v>194</v>
      </c>
      <c r="BR412" t="s">
        <v>232</v>
      </c>
      <c r="BT412" t="s">
        <v>197</v>
      </c>
      <c r="BV412" t="s">
        <v>233</v>
      </c>
      <c r="CA412" t="s">
        <v>194</v>
      </c>
      <c r="CB412" t="s">
        <v>214</v>
      </c>
      <c r="CF412" t="s">
        <v>215</v>
      </c>
      <c r="CH412" t="s">
        <v>214</v>
      </c>
      <c r="CI412" t="s">
        <v>214</v>
      </c>
      <c r="CJ412" t="s">
        <v>214</v>
      </c>
      <c r="CP412" t="s">
        <v>214</v>
      </c>
      <c r="CS412" t="s">
        <v>216</v>
      </c>
      <c r="CV412" t="s">
        <v>214</v>
      </c>
      <c r="CW412" t="s">
        <v>214</v>
      </c>
      <c r="CX412" t="s">
        <v>217</v>
      </c>
      <c r="CY412" t="s">
        <v>214</v>
      </c>
      <c r="DA412" t="s">
        <v>218</v>
      </c>
    </row>
    <row r="413" spans="1:105" x14ac:dyDescent="0.3">
      <c r="A413">
        <v>19926347</v>
      </c>
      <c r="B413">
        <v>612293</v>
      </c>
      <c r="C413" t="str">
        <f>"100617650655"</f>
        <v>100617650655</v>
      </c>
      <c r="D413" t="s">
        <v>1197</v>
      </c>
      <c r="E413" t="s">
        <v>723</v>
      </c>
      <c r="F413" t="s">
        <v>538</v>
      </c>
      <c r="G413" s="1">
        <v>40346</v>
      </c>
      <c r="I413" t="s">
        <v>222</v>
      </c>
      <c r="J413" t="s">
        <v>188</v>
      </c>
      <c r="K413" t="s">
        <v>260</v>
      </c>
      <c r="Y413" t="str">
        <f t="shared" si="14"/>
        <v>2021-08-27T00:00:00</v>
      </c>
      <c r="Z413" t="str">
        <f t="shared" si="15"/>
        <v>30</v>
      </c>
      <c r="AA413" t="s">
        <v>224</v>
      </c>
      <c r="AC413" t="s">
        <v>237</v>
      </c>
      <c r="AD413" t="s">
        <v>261</v>
      </c>
      <c r="AE413" t="s">
        <v>193</v>
      </c>
      <c r="AF413" t="s">
        <v>194</v>
      </c>
      <c r="AH413" t="s">
        <v>195</v>
      </c>
      <c r="AI413">
        <v>2</v>
      </c>
      <c r="AJ413" t="s">
        <v>196</v>
      </c>
      <c r="AK413" t="s">
        <v>194</v>
      </c>
      <c r="AL413" t="s">
        <v>197</v>
      </c>
      <c r="AM413" t="s">
        <v>198</v>
      </c>
      <c r="AR413" t="s">
        <v>194</v>
      </c>
      <c r="AS413" t="s">
        <v>199</v>
      </c>
      <c r="AU413" t="s">
        <v>197</v>
      </c>
      <c r="AZ413" t="s">
        <v>214</v>
      </c>
      <c r="BA413" t="s">
        <v>996</v>
      </c>
      <c r="BB413" t="s">
        <v>201</v>
      </c>
      <c r="BD413" t="s">
        <v>1172</v>
      </c>
      <c r="BE413" t="s">
        <v>229</v>
      </c>
      <c r="BF413" t="s">
        <v>197</v>
      </c>
      <c r="BG413" t="s">
        <v>230</v>
      </c>
      <c r="BH413" t="s">
        <v>231</v>
      </c>
      <c r="BJ413" t="s">
        <v>205</v>
      </c>
      <c r="BK413" t="s">
        <v>206</v>
      </c>
      <c r="BL413" t="s">
        <v>194</v>
      </c>
      <c r="BO413" t="s">
        <v>216</v>
      </c>
      <c r="BP413" t="s">
        <v>216</v>
      </c>
      <c r="BR413" t="s">
        <v>232</v>
      </c>
      <c r="BT413" t="s">
        <v>197</v>
      </c>
      <c r="BV413" t="s">
        <v>1198</v>
      </c>
      <c r="BW413" t="s">
        <v>210</v>
      </c>
      <c r="BX413" t="s">
        <v>1040</v>
      </c>
      <c r="BY413" t="s">
        <v>1199</v>
      </c>
      <c r="BZ413" t="s">
        <v>1200</v>
      </c>
      <c r="CA413" t="s">
        <v>194</v>
      </c>
      <c r="CB413" t="s">
        <v>214</v>
      </c>
      <c r="CF413" t="s">
        <v>215</v>
      </c>
      <c r="CH413" t="s">
        <v>214</v>
      </c>
      <c r="CI413" t="s">
        <v>214</v>
      </c>
      <c r="CJ413" t="s">
        <v>214</v>
      </c>
      <c r="CP413" t="s">
        <v>214</v>
      </c>
      <c r="CS413" t="s">
        <v>216</v>
      </c>
      <c r="CV413" t="s">
        <v>214</v>
      </c>
      <c r="CW413" t="s">
        <v>214</v>
      </c>
      <c r="CX413" t="s">
        <v>217</v>
      </c>
      <c r="CY413" t="s">
        <v>214</v>
      </c>
      <c r="DA413" t="s">
        <v>218</v>
      </c>
    </row>
    <row r="414" spans="1:105" x14ac:dyDescent="0.3">
      <c r="A414">
        <v>19969630</v>
      </c>
      <c r="B414">
        <v>6105207</v>
      </c>
      <c r="C414" t="str">
        <f>"090511551041"</f>
        <v>090511551041</v>
      </c>
      <c r="D414" t="s">
        <v>1201</v>
      </c>
      <c r="E414" t="s">
        <v>1202</v>
      </c>
      <c r="F414" t="s">
        <v>1203</v>
      </c>
      <c r="G414" s="1">
        <v>39944</v>
      </c>
      <c r="I414" t="s">
        <v>187</v>
      </c>
      <c r="J414" t="s">
        <v>188</v>
      </c>
      <c r="K414" t="s">
        <v>189</v>
      </c>
      <c r="Y414" t="str">
        <f t="shared" si="14"/>
        <v>2021-08-27T00:00:00</v>
      </c>
      <c r="Z414" t="str">
        <f t="shared" si="15"/>
        <v>30</v>
      </c>
      <c r="AA414" t="s">
        <v>835</v>
      </c>
      <c r="AC414" t="s">
        <v>225</v>
      </c>
      <c r="AD414" t="s">
        <v>226</v>
      </c>
      <c r="AE414" t="s">
        <v>227</v>
      </c>
      <c r="AF414" t="s">
        <v>194</v>
      </c>
      <c r="AH414" t="s">
        <v>195</v>
      </c>
      <c r="AI414">
        <v>3</v>
      </c>
      <c r="AJ414" t="s">
        <v>196</v>
      </c>
      <c r="AK414" t="s">
        <v>194</v>
      </c>
      <c r="AL414" t="s">
        <v>197</v>
      </c>
      <c r="AM414" t="s">
        <v>198</v>
      </c>
      <c r="AR414" t="s">
        <v>194</v>
      </c>
      <c r="AS414" t="s">
        <v>199</v>
      </c>
      <c r="AU414" t="s">
        <v>197</v>
      </c>
      <c r="AZ414" t="s">
        <v>214</v>
      </c>
      <c r="BA414" t="s">
        <v>996</v>
      </c>
      <c r="BB414" t="s">
        <v>201</v>
      </c>
      <c r="BD414" t="s">
        <v>1172</v>
      </c>
      <c r="BE414" t="s">
        <v>202</v>
      </c>
      <c r="BF414" t="s">
        <v>197</v>
      </c>
      <c r="BG414" t="s">
        <v>230</v>
      </c>
      <c r="BH414" t="s">
        <v>400</v>
      </c>
      <c r="BJ414" t="s">
        <v>205</v>
      </c>
      <c r="BK414" t="s">
        <v>206</v>
      </c>
      <c r="BL414" t="s">
        <v>194</v>
      </c>
      <c r="BR414" t="s">
        <v>207</v>
      </c>
      <c r="BS414" t="s">
        <v>208</v>
      </c>
      <c r="BT414" t="s">
        <v>1204</v>
      </c>
      <c r="BU414" t="s">
        <v>1205</v>
      </c>
      <c r="BV414" t="s">
        <v>233</v>
      </c>
      <c r="CA414" t="s">
        <v>194</v>
      </c>
      <c r="CB414" t="s">
        <v>214</v>
      </c>
      <c r="CF414" t="s">
        <v>215</v>
      </c>
      <c r="CH414" t="s">
        <v>214</v>
      </c>
      <c r="CI414" t="s">
        <v>214</v>
      </c>
      <c r="CJ414" t="s">
        <v>214</v>
      </c>
      <c r="CP414" t="s">
        <v>214</v>
      </c>
      <c r="CS414" t="s">
        <v>216</v>
      </c>
      <c r="CV414" t="s">
        <v>214</v>
      </c>
      <c r="CW414" t="s">
        <v>214</v>
      </c>
      <c r="CX414" t="s">
        <v>217</v>
      </c>
      <c r="CY414" t="s">
        <v>214</v>
      </c>
      <c r="DA414" t="s">
        <v>218</v>
      </c>
    </row>
    <row r="415" spans="1:105" x14ac:dyDescent="0.3">
      <c r="A415">
        <v>19970466</v>
      </c>
      <c r="B415">
        <v>6450132</v>
      </c>
      <c r="C415" t="str">
        <f>"100320651598"</f>
        <v>100320651598</v>
      </c>
      <c r="D415" t="s">
        <v>1206</v>
      </c>
      <c r="E415" t="s">
        <v>1207</v>
      </c>
      <c r="F415" t="s">
        <v>1208</v>
      </c>
      <c r="G415" s="1">
        <v>40257</v>
      </c>
      <c r="I415" t="s">
        <v>222</v>
      </c>
      <c r="J415" t="s">
        <v>188</v>
      </c>
      <c r="K415" t="s">
        <v>373</v>
      </c>
      <c r="Y415" t="str">
        <f t="shared" si="14"/>
        <v>2021-08-27T00:00:00</v>
      </c>
      <c r="Z415" t="str">
        <f t="shared" si="15"/>
        <v>30</v>
      </c>
      <c r="AA415" t="s">
        <v>835</v>
      </c>
      <c r="AC415" t="s">
        <v>191</v>
      </c>
      <c r="AD415" t="s">
        <v>242</v>
      </c>
      <c r="AE415" t="s">
        <v>243</v>
      </c>
      <c r="AF415" t="s">
        <v>194</v>
      </c>
      <c r="AH415" t="s">
        <v>195</v>
      </c>
      <c r="AI415">
        <v>2</v>
      </c>
      <c r="AJ415" t="s">
        <v>196</v>
      </c>
      <c r="AK415" t="s">
        <v>194</v>
      </c>
      <c r="AL415" t="s">
        <v>197</v>
      </c>
      <c r="AM415" t="s">
        <v>198</v>
      </c>
      <c r="AR415" t="s">
        <v>214</v>
      </c>
      <c r="AU415" t="s">
        <v>197</v>
      </c>
      <c r="AZ415" t="s">
        <v>214</v>
      </c>
      <c r="BA415" t="s">
        <v>996</v>
      </c>
      <c r="BB415" t="s">
        <v>201</v>
      </c>
      <c r="BD415" t="s">
        <v>1172</v>
      </c>
      <c r="BE415" t="s">
        <v>229</v>
      </c>
      <c r="BF415" t="s">
        <v>197</v>
      </c>
      <c r="BG415" t="s">
        <v>230</v>
      </c>
      <c r="BH415" t="s">
        <v>231</v>
      </c>
      <c r="BJ415" t="s">
        <v>205</v>
      </c>
      <c r="BK415" t="s">
        <v>206</v>
      </c>
      <c r="BL415" t="s">
        <v>194</v>
      </c>
      <c r="BO415" t="s">
        <v>216</v>
      </c>
      <c r="BP415" t="s">
        <v>216</v>
      </c>
      <c r="BR415" t="s">
        <v>232</v>
      </c>
      <c r="BT415" t="s">
        <v>1209</v>
      </c>
      <c r="BU415" t="s">
        <v>208</v>
      </c>
      <c r="BV415" t="s">
        <v>233</v>
      </c>
      <c r="CA415" t="s">
        <v>194</v>
      </c>
      <c r="CB415" t="s">
        <v>214</v>
      </c>
      <c r="CF415" t="s">
        <v>215</v>
      </c>
      <c r="CH415" t="s">
        <v>214</v>
      </c>
      <c r="CI415" t="s">
        <v>214</v>
      </c>
      <c r="CJ415" t="s">
        <v>214</v>
      </c>
      <c r="CP415" t="s">
        <v>214</v>
      </c>
      <c r="CS415" t="s">
        <v>216</v>
      </c>
      <c r="CV415" t="s">
        <v>214</v>
      </c>
      <c r="CW415" t="s">
        <v>214</v>
      </c>
      <c r="CX415" t="s">
        <v>217</v>
      </c>
      <c r="CY415" t="s">
        <v>214</v>
      </c>
      <c r="DA415" t="s">
        <v>218</v>
      </c>
    </row>
    <row r="416" spans="1:105" x14ac:dyDescent="0.3">
      <c r="A416">
        <v>20089998</v>
      </c>
      <c r="B416">
        <v>5961502</v>
      </c>
      <c r="C416" t="str">
        <f>"070221651048"</f>
        <v>070221651048</v>
      </c>
      <c r="D416" t="s">
        <v>1210</v>
      </c>
      <c r="E416" t="s">
        <v>1211</v>
      </c>
      <c r="G416" s="1">
        <v>39134</v>
      </c>
      <c r="I416" t="s">
        <v>222</v>
      </c>
      <c r="J416" t="s">
        <v>188</v>
      </c>
      <c r="K416" t="s">
        <v>189</v>
      </c>
      <c r="Y416" t="str">
        <f t="shared" si="14"/>
        <v>2021-08-27T00:00:00</v>
      </c>
      <c r="Z416" t="str">
        <f t="shared" si="15"/>
        <v>30</v>
      </c>
      <c r="AA416" t="s">
        <v>224</v>
      </c>
      <c r="AB416" t="str">
        <f>"nekrasovka@mail.kz"</f>
        <v>nekrasovka@mail.kz</v>
      </c>
      <c r="AC416" t="s">
        <v>191</v>
      </c>
      <c r="AD416" t="s">
        <v>192</v>
      </c>
      <c r="AE416" t="s">
        <v>193</v>
      </c>
      <c r="AF416" t="s">
        <v>194</v>
      </c>
      <c r="AH416" t="s">
        <v>195</v>
      </c>
      <c r="AI416">
        <v>3</v>
      </c>
      <c r="AJ416" t="s">
        <v>196</v>
      </c>
      <c r="AK416" t="s">
        <v>194</v>
      </c>
      <c r="AL416" t="s">
        <v>197</v>
      </c>
      <c r="AM416" t="s">
        <v>198</v>
      </c>
      <c r="AR416" t="s">
        <v>194</v>
      </c>
      <c r="AS416" t="s">
        <v>199</v>
      </c>
      <c r="AU416" t="s">
        <v>197</v>
      </c>
      <c r="AZ416" t="s">
        <v>214</v>
      </c>
      <c r="BA416" t="s">
        <v>996</v>
      </c>
      <c r="BB416" t="s">
        <v>201</v>
      </c>
      <c r="BD416" t="s">
        <v>1172</v>
      </c>
      <c r="BE416" t="s">
        <v>202</v>
      </c>
      <c r="BF416" t="s">
        <v>197</v>
      </c>
      <c r="BG416" t="s">
        <v>339</v>
      </c>
      <c r="BH416" t="s">
        <v>377</v>
      </c>
      <c r="BJ416" t="s">
        <v>205</v>
      </c>
      <c r="BK416" t="s">
        <v>206</v>
      </c>
      <c r="BL416" t="s">
        <v>194</v>
      </c>
      <c r="BR416" t="s">
        <v>232</v>
      </c>
      <c r="BT416" t="s">
        <v>197</v>
      </c>
      <c r="BV416" t="s">
        <v>415</v>
      </c>
      <c r="BW416" t="s">
        <v>416</v>
      </c>
      <c r="BX416" t="s">
        <v>211</v>
      </c>
      <c r="BY416" t="s">
        <v>534</v>
      </c>
      <c r="BZ416" t="s">
        <v>1212</v>
      </c>
      <c r="CA416" t="s">
        <v>194</v>
      </c>
      <c r="CB416" t="s">
        <v>214</v>
      </c>
      <c r="CF416" t="s">
        <v>215</v>
      </c>
      <c r="CH416" t="s">
        <v>214</v>
      </c>
      <c r="CI416" t="s">
        <v>214</v>
      </c>
      <c r="CJ416" t="s">
        <v>214</v>
      </c>
      <c r="CP416" t="s">
        <v>214</v>
      </c>
      <c r="CS416" t="s">
        <v>216</v>
      </c>
      <c r="CV416" t="s">
        <v>214</v>
      </c>
      <c r="CW416" t="s">
        <v>214</v>
      </c>
      <c r="CX416" t="s">
        <v>217</v>
      </c>
      <c r="CY416" t="s">
        <v>214</v>
      </c>
      <c r="DA416" t="s">
        <v>218</v>
      </c>
    </row>
    <row r="417" spans="1:105" x14ac:dyDescent="0.3">
      <c r="A417">
        <v>20135460</v>
      </c>
      <c r="B417">
        <v>5761477</v>
      </c>
      <c r="C417" t="str">
        <f>"110419503721"</f>
        <v>110419503721</v>
      </c>
      <c r="D417" t="s">
        <v>1213</v>
      </c>
      <c r="E417" t="s">
        <v>861</v>
      </c>
      <c r="F417" t="s">
        <v>241</v>
      </c>
      <c r="G417" s="1">
        <v>40652</v>
      </c>
      <c r="I417" t="s">
        <v>187</v>
      </c>
      <c r="J417" t="s">
        <v>188</v>
      </c>
      <c r="K417" t="s">
        <v>530</v>
      </c>
      <c r="Y417" t="str">
        <f t="shared" si="14"/>
        <v>2021-08-27T00:00:00</v>
      </c>
      <c r="Z417" t="str">
        <f t="shared" si="15"/>
        <v>30</v>
      </c>
      <c r="AA417" t="s">
        <v>835</v>
      </c>
      <c r="AC417" t="s">
        <v>255</v>
      </c>
      <c r="AD417" t="s">
        <v>285</v>
      </c>
      <c r="AE417" t="s">
        <v>227</v>
      </c>
      <c r="AF417" t="s">
        <v>194</v>
      </c>
      <c r="AH417" t="s">
        <v>195</v>
      </c>
      <c r="AI417">
        <v>1</v>
      </c>
      <c r="AJ417" t="s">
        <v>196</v>
      </c>
      <c r="AK417" t="s">
        <v>194</v>
      </c>
      <c r="AL417" t="s">
        <v>197</v>
      </c>
      <c r="AM417" t="s">
        <v>198</v>
      </c>
      <c r="AR417" t="s">
        <v>194</v>
      </c>
      <c r="AS417" t="s">
        <v>199</v>
      </c>
      <c r="AU417" t="s">
        <v>197</v>
      </c>
      <c r="AZ417" t="s">
        <v>214</v>
      </c>
      <c r="BA417" t="s">
        <v>996</v>
      </c>
      <c r="BB417" t="s">
        <v>201</v>
      </c>
      <c r="BD417" t="s">
        <v>1172</v>
      </c>
      <c r="BE417" t="s">
        <v>202</v>
      </c>
      <c r="BF417" t="s">
        <v>197</v>
      </c>
      <c r="BG417" t="s">
        <v>230</v>
      </c>
      <c r="BH417" t="s">
        <v>400</v>
      </c>
      <c r="BJ417" t="s">
        <v>205</v>
      </c>
      <c r="BK417" t="s">
        <v>206</v>
      </c>
      <c r="BL417" t="s">
        <v>194</v>
      </c>
      <c r="BO417" t="s">
        <v>216</v>
      </c>
      <c r="BP417" t="s">
        <v>216</v>
      </c>
      <c r="BQ417" t="s">
        <v>1125</v>
      </c>
      <c r="BR417" t="s">
        <v>232</v>
      </c>
      <c r="BT417" t="s">
        <v>197</v>
      </c>
      <c r="BV417" t="s">
        <v>233</v>
      </c>
      <c r="CA417" t="s">
        <v>194</v>
      </c>
      <c r="CB417" t="s">
        <v>214</v>
      </c>
      <c r="CF417" t="s">
        <v>215</v>
      </c>
      <c r="CH417" t="s">
        <v>214</v>
      </c>
      <c r="CI417" t="s">
        <v>214</v>
      </c>
      <c r="CJ417" t="s">
        <v>214</v>
      </c>
      <c r="CP417" t="s">
        <v>214</v>
      </c>
      <c r="CS417" t="s">
        <v>216</v>
      </c>
      <c r="CV417" t="s">
        <v>214</v>
      </c>
      <c r="CW417" t="s">
        <v>214</v>
      </c>
      <c r="CX417" t="s">
        <v>217</v>
      </c>
      <c r="CY417" t="s">
        <v>214</v>
      </c>
      <c r="DA417" t="s">
        <v>218</v>
      </c>
    </row>
    <row r="418" spans="1:105" x14ac:dyDescent="0.3">
      <c r="A418">
        <v>20185203</v>
      </c>
      <c r="B418">
        <v>934858</v>
      </c>
      <c r="C418" t="str">
        <f>"051121651648"</f>
        <v>051121651648</v>
      </c>
      <c r="D418" t="s">
        <v>1214</v>
      </c>
      <c r="E418" t="s">
        <v>1215</v>
      </c>
      <c r="F418" t="s">
        <v>1216</v>
      </c>
      <c r="G418" s="1">
        <v>38677</v>
      </c>
      <c r="I418" t="s">
        <v>222</v>
      </c>
      <c r="J418" t="s">
        <v>188</v>
      </c>
      <c r="K418" t="s">
        <v>498</v>
      </c>
      <c r="Y418" t="str">
        <f>"2021-08-05T00:00:00"</f>
        <v>2021-08-05T00:00:00</v>
      </c>
      <c r="Z418" t="str">
        <f>"24"</f>
        <v>24</v>
      </c>
      <c r="AA418" t="s">
        <v>224</v>
      </c>
      <c r="AB418" t="str">
        <f>"akm_arshalu_novoaleksandrovka@mail.ru"</f>
        <v>akm_arshalu_novoaleksandrovka@mail.ru</v>
      </c>
      <c r="AC418" t="s">
        <v>225</v>
      </c>
      <c r="AD418" t="s">
        <v>1217</v>
      </c>
      <c r="AE418" t="s">
        <v>227</v>
      </c>
      <c r="AF418" t="s">
        <v>194</v>
      </c>
      <c r="AH418" t="s">
        <v>195</v>
      </c>
      <c r="AI418">
        <v>3</v>
      </c>
      <c r="AJ418" t="s">
        <v>196</v>
      </c>
      <c r="AK418" t="s">
        <v>194</v>
      </c>
      <c r="AL418" t="s">
        <v>197</v>
      </c>
      <c r="AM418" t="s">
        <v>198</v>
      </c>
      <c r="AR418" t="s">
        <v>194</v>
      </c>
      <c r="AS418" t="s">
        <v>199</v>
      </c>
      <c r="AU418" t="s">
        <v>197</v>
      </c>
      <c r="AZ418" t="s">
        <v>194</v>
      </c>
      <c r="BA418" t="s">
        <v>200</v>
      </c>
      <c r="BB418" t="s">
        <v>201</v>
      </c>
      <c r="BD418" t="s">
        <v>200</v>
      </c>
      <c r="BE418" t="s">
        <v>202</v>
      </c>
      <c r="BF418" t="s">
        <v>197</v>
      </c>
      <c r="BG418" t="s">
        <v>238</v>
      </c>
      <c r="BH418">
        <v>3</v>
      </c>
      <c r="BJ418" t="s">
        <v>205</v>
      </c>
      <c r="BK418" t="s">
        <v>206</v>
      </c>
      <c r="BL418" t="s">
        <v>194</v>
      </c>
      <c r="BO418" t="s">
        <v>216</v>
      </c>
      <c r="BP418" t="s">
        <v>216</v>
      </c>
      <c r="BR418" t="s">
        <v>1218</v>
      </c>
      <c r="BS418" t="s">
        <v>208</v>
      </c>
      <c r="BT418" t="s">
        <v>197</v>
      </c>
      <c r="BV418" t="s">
        <v>1219</v>
      </c>
      <c r="BW418" t="s">
        <v>1220</v>
      </c>
      <c r="BX418" t="s">
        <v>249</v>
      </c>
      <c r="BY418" t="s">
        <v>250</v>
      </c>
      <c r="BZ418" t="s">
        <v>1221</v>
      </c>
      <c r="CA418" t="s">
        <v>194</v>
      </c>
      <c r="CB418" t="s">
        <v>214</v>
      </c>
      <c r="CF418" t="s">
        <v>215</v>
      </c>
      <c r="CH418" t="s">
        <v>214</v>
      </c>
      <c r="CI418" t="s">
        <v>214</v>
      </c>
      <c r="CJ418" t="s">
        <v>214</v>
      </c>
      <c r="CP418" t="s">
        <v>214</v>
      </c>
      <c r="CS418" t="s">
        <v>216</v>
      </c>
      <c r="CV418" t="s">
        <v>214</v>
      </c>
      <c r="CW418" t="s">
        <v>214</v>
      </c>
      <c r="CX418" t="s">
        <v>217</v>
      </c>
      <c r="CY418" t="s">
        <v>214</v>
      </c>
      <c r="DA418" t="s">
        <v>218</v>
      </c>
    </row>
    <row r="419" spans="1:105" x14ac:dyDescent="0.3">
      <c r="A419">
        <v>20185204</v>
      </c>
      <c r="B419">
        <v>78758</v>
      </c>
      <c r="C419" t="str">
        <f>"050521651392"</f>
        <v>050521651392</v>
      </c>
      <c r="D419" t="s">
        <v>272</v>
      </c>
      <c r="E419" t="s">
        <v>1222</v>
      </c>
      <c r="F419" t="s">
        <v>1223</v>
      </c>
      <c r="G419" s="1">
        <v>38493</v>
      </c>
      <c r="I419" t="s">
        <v>222</v>
      </c>
      <c r="J419" t="s">
        <v>188</v>
      </c>
      <c r="K419" t="s">
        <v>189</v>
      </c>
      <c r="Y419" t="str">
        <f>"2021-08-05T00:00:00"</f>
        <v>2021-08-05T00:00:00</v>
      </c>
      <c r="Z419" t="str">
        <f>"24"</f>
        <v>24</v>
      </c>
      <c r="AA419" t="s">
        <v>224</v>
      </c>
      <c r="AB419" t="str">
        <f>"akm-arshaly-martinov@mail.ru"</f>
        <v>akm-arshaly-martinov@mail.ru</v>
      </c>
      <c r="AC419" t="s">
        <v>191</v>
      </c>
      <c r="AD419" t="s">
        <v>1217</v>
      </c>
      <c r="AE419" t="s">
        <v>227</v>
      </c>
      <c r="AF419" t="s">
        <v>194</v>
      </c>
      <c r="AH419" t="s">
        <v>195</v>
      </c>
      <c r="AI419">
        <v>2</v>
      </c>
      <c r="AJ419" t="s">
        <v>196</v>
      </c>
      <c r="AK419" t="s">
        <v>194</v>
      </c>
      <c r="AL419" t="s">
        <v>197</v>
      </c>
      <c r="AM419" t="s">
        <v>228</v>
      </c>
      <c r="AR419" t="s">
        <v>214</v>
      </c>
      <c r="AU419" t="s">
        <v>197</v>
      </c>
      <c r="AZ419" t="s">
        <v>194</v>
      </c>
      <c r="BA419" t="s">
        <v>200</v>
      </c>
      <c r="BB419" t="s">
        <v>201</v>
      </c>
      <c r="BD419" t="s">
        <v>200</v>
      </c>
      <c r="BE419" t="s">
        <v>202</v>
      </c>
      <c r="BF419" t="s">
        <v>197</v>
      </c>
      <c r="BG419" t="s">
        <v>1224</v>
      </c>
      <c r="BH419" t="s">
        <v>1225</v>
      </c>
      <c r="BJ419" t="s">
        <v>205</v>
      </c>
      <c r="BK419" t="s">
        <v>206</v>
      </c>
      <c r="BL419" t="s">
        <v>194</v>
      </c>
      <c r="BO419" t="s">
        <v>200</v>
      </c>
      <c r="BP419" t="s">
        <v>200</v>
      </c>
      <c r="BR419" t="s">
        <v>1218</v>
      </c>
      <c r="BS419" t="s">
        <v>208</v>
      </c>
      <c r="BT419" t="s">
        <v>197</v>
      </c>
      <c r="BV419" t="s">
        <v>471</v>
      </c>
      <c r="BW419" t="s">
        <v>416</v>
      </c>
      <c r="BX419" t="s">
        <v>301</v>
      </c>
      <c r="BY419" t="s">
        <v>212</v>
      </c>
      <c r="BZ419" t="s">
        <v>1226</v>
      </c>
      <c r="CA419" t="s">
        <v>194</v>
      </c>
      <c r="CB419" t="s">
        <v>214</v>
      </c>
      <c r="CF419" t="s">
        <v>215</v>
      </c>
      <c r="CH419" t="s">
        <v>214</v>
      </c>
      <c r="CI419" t="s">
        <v>214</v>
      </c>
      <c r="CJ419" t="s">
        <v>214</v>
      </c>
      <c r="CP419" t="s">
        <v>214</v>
      </c>
      <c r="CS419" t="s">
        <v>216</v>
      </c>
      <c r="CV419" t="s">
        <v>214</v>
      </c>
      <c r="CW419" t="s">
        <v>214</v>
      </c>
      <c r="CX419" t="s">
        <v>217</v>
      </c>
      <c r="CY419" t="s">
        <v>214</v>
      </c>
      <c r="DA419" t="s">
        <v>218</v>
      </c>
    </row>
    <row r="420" spans="1:105" x14ac:dyDescent="0.3">
      <c r="A420">
        <v>20185205</v>
      </c>
      <c r="B420">
        <v>928095</v>
      </c>
      <c r="C420" t="str">
        <f>"050717551847"</f>
        <v>050717551847</v>
      </c>
      <c r="D420" t="s">
        <v>682</v>
      </c>
      <c r="E420" t="s">
        <v>322</v>
      </c>
      <c r="F420" t="s">
        <v>599</v>
      </c>
      <c r="G420" s="1">
        <v>38550</v>
      </c>
      <c r="I420" t="s">
        <v>187</v>
      </c>
      <c r="J420" t="s">
        <v>188</v>
      </c>
      <c r="K420" t="s">
        <v>1227</v>
      </c>
      <c r="Y420" t="str">
        <f>"2021-08-05T00:00:00"</f>
        <v>2021-08-05T00:00:00</v>
      </c>
      <c r="Z420" t="str">
        <f>"24"</f>
        <v>24</v>
      </c>
      <c r="AA420" t="s">
        <v>224</v>
      </c>
      <c r="AB420" t="str">
        <f>"akm_arshalu_novoaleksandrovka@mail.ru"</f>
        <v>akm_arshalu_novoaleksandrovka@mail.ru</v>
      </c>
      <c r="AC420" t="s">
        <v>237</v>
      </c>
      <c r="AD420" t="s">
        <v>1217</v>
      </c>
      <c r="AE420" t="s">
        <v>227</v>
      </c>
      <c r="AF420" t="s">
        <v>194</v>
      </c>
      <c r="AH420" t="s">
        <v>195</v>
      </c>
      <c r="AI420">
        <v>3</v>
      </c>
      <c r="AJ420" t="s">
        <v>196</v>
      </c>
      <c r="AK420" t="s">
        <v>194</v>
      </c>
      <c r="AL420" t="s">
        <v>197</v>
      </c>
      <c r="AM420" t="s">
        <v>198</v>
      </c>
      <c r="AR420" t="s">
        <v>214</v>
      </c>
      <c r="AU420" t="s">
        <v>197</v>
      </c>
      <c r="AZ420" t="s">
        <v>194</v>
      </c>
      <c r="BA420" t="s">
        <v>200</v>
      </c>
      <c r="BB420" t="s">
        <v>201</v>
      </c>
      <c r="BD420" t="s">
        <v>200</v>
      </c>
      <c r="BE420" t="s">
        <v>202</v>
      </c>
      <c r="BF420" t="s">
        <v>197</v>
      </c>
      <c r="BG420" t="s">
        <v>1228</v>
      </c>
      <c r="BH420" t="s">
        <v>1229</v>
      </c>
      <c r="BJ420" t="s">
        <v>205</v>
      </c>
      <c r="BK420" t="s">
        <v>206</v>
      </c>
      <c r="BL420" t="s">
        <v>214</v>
      </c>
      <c r="BO420" t="s">
        <v>216</v>
      </c>
      <c r="BP420" t="s">
        <v>216</v>
      </c>
      <c r="BR420" t="s">
        <v>1218</v>
      </c>
      <c r="BS420" t="s">
        <v>208</v>
      </c>
      <c r="BT420" t="s">
        <v>197</v>
      </c>
      <c r="BV420" t="s">
        <v>233</v>
      </c>
      <c r="CA420" t="s">
        <v>194</v>
      </c>
      <c r="CB420" t="s">
        <v>214</v>
      </c>
      <c r="CF420" t="s">
        <v>215</v>
      </c>
      <c r="CH420" t="s">
        <v>214</v>
      </c>
      <c r="CI420" t="s">
        <v>214</v>
      </c>
      <c r="CJ420" t="s">
        <v>214</v>
      </c>
      <c r="CP420" t="s">
        <v>214</v>
      </c>
      <c r="CS420" t="s">
        <v>216</v>
      </c>
      <c r="CV420" t="s">
        <v>214</v>
      </c>
      <c r="CW420" t="s">
        <v>214</v>
      </c>
      <c r="CX420" t="s">
        <v>217</v>
      </c>
      <c r="CY420" t="s">
        <v>214</v>
      </c>
      <c r="DA420" t="s">
        <v>218</v>
      </c>
    </row>
    <row r="421" spans="1:105" x14ac:dyDescent="0.3">
      <c r="A421">
        <v>16034645</v>
      </c>
      <c r="B421">
        <v>619874</v>
      </c>
      <c r="C421" t="str">
        <f>"140504500506"</f>
        <v>140504500506</v>
      </c>
      <c r="D421" t="s">
        <v>1230</v>
      </c>
      <c r="E421" t="s">
        <v>469</v>
      </c>
      <c r="G421" s="1">
        <v>41763</v>
      </c>
      <c r="I421" t="s">
        <v>187</v>
      </c>
      <c r="J421" t="s">
        <v>188</v>
      </c>
      <c r="K421" t="s">
        <v>189</v>
      </c>
      <c r="Y421" t="str">
        <f>"2020-08-14T00:00:00"</f>
        <v>2020-08-14T00:00:00</v>
      </c>
      <c r="Z421" t="str">
        <f>"17"</f>
        <v>17</v>
      </c>
      <c r="AA421" t="s">
        <v>190</v>
      </c>
      <c r="AC421" t="s">
        <v>225</v>
      </c>
      <c r="AD421" t="s">
        <v>815</v>
      </c>
      <c r="AE421" t="s">
        <v>243</v>
      </c>
      <c r="AF421" t="s">
        <v>194</v>
      </c>
      <c r="AH421" t="s">
        <v>195</v>
      </c>
      <c r="AI421">
        <v>1</v>
      </c>
      <c r="AJ421" t="s">
        <v>196</v>
      </c>
      <c r="AK421" t="s">
        <v>194</v>
      </c>
      <c r="AL421" t="s">
        <v>197</v>
      </c>
      <c r="AM421" t="s">
        <v>198</v>
      </c>
      <c r="AR421" t="s">
        <v>194</v>
      </c>
      <c r="AS421" t="s">
        <v>199</v>
      </c>
      <c r="AU421" t="s">
        <v>197</v>
      </c>
      <c r="AZ421" t="s">
        <v>194</v>
      </c>
      <c r="BB421" t="s">
        <v>201</v>
      </c>
      <c r="BD421" t="s">
        <v>200</v>
      </c>
      <c r="BE421" t="s">
        <v>229</v>
      </c>
      <c r="BF421" t="s">
        <v>197</v>
      </c>
      <c r="BG421" t="s">
        <v>230</v>
      </c>
      <c r="BH421" t="s">
        <v>263</v>
      </c>
      <c r="BJ421" t="s">
        <v>205</v>
      </c>
      <c r="BK421" t="s">
        <v>206</v>
      </c>
      <c r="BL421" t="s">
        <v>194</v>
      </c>
      <c r="BO421" t="s">
        <v>200</v>
      </c>
      <c r="BP421" t="s">
        <v>200</v>
      </c>
      <c r="BQ421" t="s">
        <v>280</v>
      </c>
      <c r="BR421" t="s">
        <v>232</v>
      </c>
      <c r="BT421" t="s">
        <v>197</v>
      </c>
      <c r="BV421" t="s">
        <v>233</v>
      </c>
      <c r="CA421" t="s">
        <v>194</v>
      </c>
      <c r="CB421" t="s">
        <v>214</v>
      </c>
      <c r="CF421" t="s">
        <v>215</v>
      </c>
      <c r="CH421" t="s">
        <v>214</v>
      </c>
      <c r="CI421" t="s">
        <v>214</v>
      </c>
      <c r="CJ421" t="s">
        <v>214</v>
      </c>
      <c r="CP421" t="s">
        <v>214</v>
      </c>
      <c r="CS421" t="s">
        <v>216</v>
      </c>
      <c r="CV421" t="s">
        <v>214</v>
      </c>
      <c r="CW421" t="s">
        <v>214</v>
      </c>
      <c r="CX421" t="s">
        <v>217</v>
      </c>
      <c r="CY421" t="s">
        <v>214</v>
      </c>
      <c r="DA421" t="s">
        <v>218</v>
      </c>
    </row>
    <row r="422" spans="1:105" x14ac:dyDescent="0.3">
      <c r="A422">
        <v>16035278</v>
      </c>
      <c r="B422">
        <v>899014</v>
      </c>
      <c r="C422" t="str">
        <f>"131206502395"</f>
        <v>131206502395</v>
      </c>
      <c r="D422" t="s">
        <v>1231</v>
      </c>
      <c r="E422" t="s">
        <v>1232</v>
      </c>
      <c r="F422" t="s">
        <v>1233</v>
      </c>
      <c r="G422" s="1">
        <v>41614</v>
      </c>
      <c r="I422" t="s">
        <v>187</v>
      </c>
      <c r="J422" t="s">
        <v>188</v>
      </c>
      <c r="K422" t="s">
        <v>189</v>
      </c>
      <c r="Y422" t="str">
        <f>"2020-07-30T00:00:00"</f>
        <v>2020-07-30T00:00:00</v>
      </c>
      <c r="Z422" t="str">
        <f>"13"</f>
        <v>13</v>
      </c>
      <c r="AA422" t="s">
        <v>190</v>
      </c>
      <c r="AC422" t="s">
        <v>225</v>
      </c>
      <c r="AD422" t="s">
        <v>815</v>
      </c>
      <c r="AE422" t="s">
        <v>243</v>
      </c>
      <c r="AF422" t="s">
        <v>194</v>
      </c>
      <c r="AH422" t="s">
        <v>195</v>
      </c>
      <c r="AI422">
        <v>1</v>
      </c>
      <c r="AJ422" t="s">
        <v>196</v>
      </c>
      <c r="AK422" t="s">
        <v>194</v>
      </c>
      <c r="AL422" t="s">
        <v>197</v>
      </c>
      <c r="AM422" t="s">
        <v>198</v>
      </c>
      <c r="AR422" t="s">
        <v>194</v>
      </c>
      <c r="AS422" t="s">
        <v>199</v>
      </c>
      <c r="AU422" t="s">
        <v>197</v>
      </c>
      <c r="AZ422" t="s">
        <v>194</v>
      </c>
      <c r="BB422" t="s">
        <v>201</v>
      </c>
      <c r="BD422" t="s">
        <v>200</v>
      </c>
      <c r="BE422" t="s">
        <v>229</v>
      </c>
      <c r="BF422" t="s">
        <v>197</v>
      </c>
      <c r="BG422" t="s">
        <v>230</v>
      </c>
      <c r="BH422" t="s">
        <v>231</v>
      </c>
      <c r="BJ422" t="s">
        <v>205</v>
      </c>
      <c r="BK422" t="s">
        <v>206</v>
      </c>
      <c r="BL422" t="s">
        <v>194</v>
      </c>
      <c r="BO422" t="s">
        <v>200</v>
      </c>
      <c r="BP422" t="s">
        <v>200</v>
      </c>
      <c r="BQ422" t="s">
        <v>280</v>
      </c>
      <c r="BR422" t="s">
        <v>232</v>
      </c>
      <c r="BT422" t="s">
        <v>197</v>
      </c>
      <c r="BV422" t="s">
        <v>233</v>
      </c>
      <c r="CA422" t="s">
        <v>194</v>
      </c>
      <c r="CB422" t="s">
        <v>214</v>
      </c>
      <c r="CF422" t="s">
        <v>215</v>
      </c>
      <c r="CH422" t="s">
        <v>214</v>
      </c>
      <c r="CI422" t="s">
        <v>214</v>
      </c>
      <c r="CJ422" t="s">
        <v>214</v>
      </c>
      <c r="CP422" t="s">
        <v>214</v>
      </c>
      <c r="CS422" t="s">
        <v>216</v>
      </c>
      <c r="CV422" t="s">
        <v>214</v>
      </c>
      <c r="CW422" t="s">
        <v>214</v>
      </c>
      <c r="CX422" t="s">
        <v>217</v>
      </c>
      <c r="CY422" t="s">
        <v>214</v>
      </c>
      <c r="DA422" t="s">
        <v>218</v>
      </c>
    </row>
    <row r="423" spans="1:105" x14ac:dyDescent="0.3">
      <c r="A423">
        <v>16035997</v>
      </c>
      <c r="B423">
        <v>6239009</v>
      </c>
      <c r="C423" t="str">
        <f>"080918651267"</f>
        <v>080918651267</v>
      </c>
      <c r="D423" t="s">
        <v>659</v>
      </c>
      <c r="E423" t="s">
        <v>1234</v>
      </c>
      <c r="F423" t="s">
        <v>1090</v>
      </c>
      <c r="G423" s="1">
        <v>39709</v>
      </c>
      <c r="I423" t="s">
        <v>222</v>
      </c>
      <c r="J423" t="s">
        <v>188</v>
      </c>
      <c r="K423" t="s">
        <v>189</v>
      </c>
      <c r="Y423" t="str">
        <f>"2020-08-21T00:00:00"</f>
        <v>2020-08-21T00:00:00</v>
      </c>
      <c r="Z423" t="str">
        <f>"18"</f>
        <v>18</v>
      </c>
      <c r="AA423" t="s">
        <v>190</v>
      </c>
      <c r="AC423" t="s">
        <v>225</v>
      </c>
      <c r="AD423" t="s">
        <v>226</v>
      </c>
      <c r="AE423" t="s">
        <v>193</v>
      </c>
      <c r="AF423" t="s">
        <v>194</v>
      </c>
      <c r="AH423" t="s">
        <v>195</v>
      </c>
      <c r="AI423">
        <v>3</v>
      </c>
      <c r="AJ423" t="s">
        <v>196</v>
      </c>
      <c r="AK423" t="s">
        <v>194</v>
      </c>
      <c r="AL423" t="s">
        <v>197</v>
      </c>
      <c r="AM423" t="s">
        <v>198</v>
      </c>
      <c r="AR423" t="s">
        <v>194</v>
      </c>
      <c r="AS423" t="s">
        <v>199</v>
      </c>
      <c r="AU423" t="s">
        <v>197</v>
      </c>
      <c r="AZ423" t="s">
        <v>194</v>
      </c>
      <c r="BB423" t="s">
        <v>201</v>
      </c>
      <c r="BD423" t="s">
        <v>200</v>
      </c>
      <c r="BE423" t="s">
        <v>202</v>
      </c>
      <c r="BF423" t="s">
        <v>197</v>
      </c>
      <c r="BG423" t="s">
        <v>230</v>
      </c>
      <c r="BH423" t="s">
        <v>400</v>
      </c>
      <c r="BJ423" t="s">
        <v>205</v>
      </c>
      <c r="BK423" t="s">
        <v>206</v>
      </c>
      <c r="BL423" t="s">
        <v>194</v>
      </c>
      <c r="BO423" t="s">
        <v>200</v>
      </c>
      <c r="BP423" t="s">
        <v>200</v>
      </c>
      <c r="BR423" t="s">
        <v>207</v>
      </c>
      <c r="BS423" t="s">
        <v>208</v>
      </c>
      <c r="BT423" t="s">
        <v>197</v>
      </c>
      <c r="BV423" t="s">
        <v>233</v>
      </c>
      <c r="CA423" t="s">
        <v>194</v>
      </c>
      <c r="CB423" t="s">
        <v>214</v>
      </c>
      <c r="CF423" t="s">
        <v>215</v>
      </c>
      <c r="CH423" t="s">
        <v>214</v>
      </c>
      <c r="CI423" t="s">
        <v>214</v>
      </c>
      <c r="CJ423" t="s">
        <v>214</v>
      </c>
      <c r="CP423" t="s">
        <v>214</v>
      </c>
      <c r="CS423" t="s">
        <v>216</v>
      </c>
      <c r="CV423" t="s">
        <v>214</v>
      </c>
      <c r="CW423" t="s">
        <v>214</v>
      </c>
      <c r="CX423" t="s">
        <v>217</v>
      </c>
      <c r="CY423" t="s">
        <v>214</v>
      </c>
      <c r="DA423" t="s">
        <v>218</v>
      </c>
    </row>
    <row r="424" spans="1:105" x14ac:dyDescent="0.3">
      <c r="A424">
        <v>20189795</v>
      </c>
      <c r="B424">
        <v>4171002</v>
      </c>
      <c r="C424" t="str">
        <f>"100925550782"</f>
        <v>100925550782</v>
      </c>
      <c r="D424" t="s">
        <v>1235</v>
      </c>
      <c r="E424" t="s">
        <v>1236</v>
      </c>
      <c r="F424" t="s">
        <v>1237</v>
      </c>
      <c r="G424" s="1">
        <v>40446</v>
      </c>
      <c r="I424" t="s">
        <v>187</v>
      </c>
      <c r="J424" t="s">
        <v>188</v>
      </c>
      <c r="K424" t="s">
        <v>772</v>
      </c>
      <c r="Y424" t="str">
        <f>"2021-08-27T00:00:00"</f>
        <v>2021-08-27T00:00:00</v>
      </c>
      <c r="Z424" t="str">
        <f>"30"</f>
        <v>30</v>
      </c>
      <c r="AA424" t="s">
        <v>835</v>
      </c>
      <c r="AC424" t="s">
        <v>191</v>
      </c>
      <c r="AD424" t="s">
        <v>261</v>
      </c>
      <c r="AE424" t="s">
        <v>193</v>
      </c>
      <c r="AF424" t="s">
        <v>194</v>
      </c>
      <c r="AH424" t="s">
        <v>195</v>
      </c>
      <c r="AI424">
        <v>3</v>
      </c>
      <c r="AJ424" t="s">
        <v>196</v>
      </c>
      <c r="AK424" t="s">
        <v>194</v>
      </c>
      <c r="AL424" t="s">
        <v>197</v>
      </c>
      <c r="AM424" t="s">
        <v>198</v>
      </c>
      <c r="AR424" t="s">
        <v>194</v>
      </c>
      <c r="AS424" t="s">
        <v>199</v>
      </c>
      <c r="AU424" t="s">
        <v>197</v>
      </c>
      <c r="AZ424" t="s">
        <v>214</v>
      </c>
      <c r="BA424" t="s">
        <v>996</v>
      </c>
      <c r="BB424" t="s">
        <v>201</v>
      </c>
      <c r="BD424" t="s">
        <v>1172</v>
      </c>
      <c r="BE424" t="s">
        <v>202</v>
      </c>
      <c r="BF424" t="s">
        <v>197</v>
      </c>
      <c r="BG424" t="s">
        <v>230</v>
      </c>
      <c r="BH424" t="s">
        <v>400</v>
      </c>
      <c r="BJ424" t="s">
        <v>205</v>
      </c>
      <c r="BK424" t="s">
        <v>206</v>
      </c>
      <c r="BL424" t="s">
        <v>214</v>
      </c>
      <c r="BO424" t="s">
        <v>216</v>
      </c>
      <c r="BP424" t="s">
        <v>216</v>
      </c>
      <c r="BR424" t="s">
        <v>232</v>
      </c>
      <c r="BT424" t="s">
        <v>197</v>
      </c>
      <c r="BV424" t="s">
        <v>233</v>
      </c>
      <c r="CA424" t="s">
        <v>194</v>
      </c>
      <c r="CB424" t="s">
        <v>214</v>
      </c>
      <c r="CF424" t="s">
        <v>215</v>
      </c>
      <c r="CH424" t="s">
        <v>214</v>
      </c>
      <c r="CI424" t="s">
        <v>214</v>
      </c>
      <c r="CJ424" t="s">
        <v>214</v>
      </c>
      <c r="CP424" t="s">
        <v>214</v>
      </c>
      <c r="CS424" t="s">
        <v>216</v>
      </c>
      <c r="CV424" t="s">
        <v>214</v>
      </c>
      <c r="CW424" t="s">
        <v>214</v>
      </c>
      <c r="CX424" t="s">
        <v>217</v>
      </c>
      <c r="CY424" t="s">
        <v>214</v>
      </c>
      <c r="DA424" t="s">
        <v>218</v>
      </c>
    </row>
    <row r="425" spans="1:105" x14ac:dyDescent="0.3">
      <c r="A425">
        <v>16041618</v>
      </c>
      <c r="B425">
        <v>9048777</v>
      </c>
      <c r="C425" t="str">
        <f>"130724502547"</f>
        <v>130724502547</v>
      </c>
      <c r="D425" t="s">
        <v>1238</v>
      </c>
      <c r="E425" t="s">
        <v>1239</v>
      </c>
      <c r="F425" t="s">
        <v>1240</v>
      </c>
      <c r="G425" s="1">
        <v>41479</v>
      </c>
      <c r="I425" t="s">
        <v>187</v>
      </c>
      <c r="J425" t="s">
        <v>188</v>
      </c>
      <c r="K425" t="s">
        <v>189</v>
      </c>
      <c r="Y425" t="str">
        <f>"2020-07-20T00:00:00"</f>
        <v>2020-07-20T00:00:00</v>
      </c>
      <c r="Z425" t="str">
        <f>"13"</f>
        <v>13</v>
      </c>
      <c r="AA425" t="s">
        <v>190</v>
      </c>
      <c r="AC425" t="s">
        <v>237</v>
      </c>
      <c r="AD425" t="s">
        <v>815</v>
      </c>
      <c r="AE425" t="s">
        <v>193</v>
      </c>
      <c r="AF425" t="s">
        <v>194</v>
      </c>
      <c r="AH425" t="s">
        <v>195</v>
      </c>
      <c r="AI425">
        <v>1</v>
      </c>
      <c r="AJ425" t="s">
        <v>196</v>
      </c>
      <c r="AK425" t="s">
        <v>194</v>
      </c>
      <c r="AL425" t="s">
        <v>197</v>
      </c>
      <c r="AM425" t="s">
        <v>198</v>
      </c>
      <c r="AR425" t="s">
        <v>194</v>
      </c>
      <c r="AS425" t="s">
        <v>199</v>
      </c>
      <c r="AU425" t="s">
        <v>197</v>
      </c>
      <c r="AZ425" t="s">
        <v>194</v>
      </c>
      <c r="BB425" t="s">
        <v>201</v>
      </c>
      <c r="BD425" t="s">
        <v>200</v>
      </c>
      <c r="BE425" t="s">
        <v>229</v>
      </c>
      <c r="BF425" t="s">
        <v>197</v>
      </c>
      <c r="BG425" t="s">
        <v>230</v>
      </c>
      <c r="BH425" t="s">
        <v>307</v>
      </c>
      <c r="BJ425" t="s">
        <v>205</v>
      </c>
      <c r="BK425" t="s">
        <v>206</v>
      </c>
      <c r="BL425" t="s">
        <v>194</v>
      </c>
      <c r="BO425" t="s">
        <v>200</v>
      </c>
      <c r="BP425" t="s">
        <v>200</v>
      </c>
      <c r="BQ425" t="s">
        <v>280</v>
      </c>
      <c r="BR425" t="s">
        <v>232</v>
      </c>
      <c r="BT425" t="s">
        <v>197</v>
      </c>
      <c r="BV425" t="s">
        <v>415</v>
      </c>
      <c r="BW425" t="s">
        <v>416</v>
      </c>
      <c r="BX425" t="s">
        <v>539</v>
      </c>
      <c r="BY425" t="s">
        <v>534</v>
      </c>
      <c r="BZ425" t="s">
        <v>616</v>
      </c>
      <c r="CA425" t="s">
        <v>194</v>
      </c>
      <c r="CB425" t="s">
        <v>214</v>
      </c>
      <c r="CF425" t="s">
        <v>215</v>
      </c>
      <c r="CH425" t="s">
        <v>214</v>
      </c>
      <c r="CI425" t="s">
        <v>214</v>
      </c>
      <c r="CJ425" t="s">
        <v>214</v>
      </c>
      <c r="CP425" t="s">
        <v>214</v>
      </c>
      <c r="CS425" t="s">
        <v>216</v>
      </c>
      <c r="CV425" t="s">
        <v>214</v>
      </c>
      <c r="CW425" t="s">
        <v>214</v>
      </c>
      <c r="CX425" t="s">
        <v>217</v>
      </c>
      <c r="CY425" t="s">
        <v>214</v>
      </c>
      <c r="DA425" t="s">
        <v>218</v>
      </c>
    </row>
    <row r="426" spans="1:105" x14ac:dyDescent="0.3">
      <c r="A426">
        <v>20195764</v>
      </c>
      <c r="B426">
        <v>2671654</v>
      </c>
      <c r="C426" t="str">
        <f>"130622501594"</f>
        <v>130622501594</v>
      </c>
      <c r="D426" t="s">
        <v>1241</v>
      </c>
      <c r="E426" t="s">
        <v>419</v>
      </c>
      <c r="F426" t="s">
        <v>297</v>
      </c>
      <c r="G426" s="1">
        <v>41447</v>
      </c>
      <c r="I426" t="s">
        <v>187</v>
      </c>
      <c r="J426" t="s">
        <v>188</v>
      </c>
      <c r="K426" t="s">
        <v>223</v>
      </c>
      <c r="Y426" t="str">
        <f>"2021-09-01T00:00:00"</f>
        <v>2021-09-01T00:00:00</v>
      </c>
      <c r="Z426" t="str">
        <f>"33"</f>
        <v>33</v>
      </c>
      <c r="AA426" t="s">
        <v>835</v>
      </c>
      <c r="AC426" t="s">
        <v>191</v>
      </c>
      <c r="AD426" t="s">
        <v>815</v>
      </c>
      <c r="AE426" t="s">
        <v>193</v>
      </c>
      <c r="AF426" t="s">
        <v>194</v>
      </c>
      <c r="AH426" t="s">
        <v>195</v>
      </c>
      <c r="AI426">
        <v>2</v>
      </c>
      <c r="AJ426" t="s">
        <v>196</v>
      </c>
      <c r="AK426" t="s">
        <v>194</v>
      </c>
      <c r="AL426" t="s">
        <v>197</v>
      </c>
      <c r="AM426" t="s">
        <v>198</v>
      </c>
      <c r="AR426" t="s">
        <v>194</v>
      </c>
      <c r="AS426" t="s">
        <v>199</v>
      </c>
      <c r="AU426" t="s">
        <v>197</v>
      </c>
      <c r="AZ426" t="s">
        <v>214</v>
      </c>
      <c r="BA426" t="s">
        <v>996</v>
      </c>
      <c r="BB426" t="s">
        <v>201</v>
      </c>
      <c r="BD426" t="s">
        <v>1172</v>
      </c>
      <c r="BE426" t="s">
        <v>229</v>
      </c>
      <c r="BF426" t="s">
        <v>197</v>
      </c>
      <c r="BG426" t="s">
        <v>230</v>
      </c>
      <c r="BH426" t="s">
        <v>231</v>
      </c>
      <c r="BJ426" t="s">
        <v>205</v>
      </c>
      <c r="BK426" t="s">
        <v>206</v>
      </c>
      <c r="BL426" t="s">
        <v>194</v>
      </c>
      <c r="BQ426" t="s">
        <v>286</v>
      </c>
      <c r="BR426" t="s">
        <v>232</v>
      </c>
      <c r="BT426" t="s">
        <v>197</v>
      </c>
      <c r="BV426" t="s">
        <v>233</v>
      </c>
      <c r="CA426" t="s">
        <v>194</v>
      </c>
      <c r="CB426" t="s">
        <v>214</v>
      </c>
      <c r="CF426" t="s">
        <v>215</v>
      </c>
      <c r="CH426" t="s">
        <v>214</v>
      </c>
      <c r="CI426" t="s">
        <v>214</v>
      </c>
      <c r="CJ426" t="s">
        <v>214</v>
      </c>
      <c r="CP426" t="s">
        <v>214</v>
      </c>
      <c r="CS426" t="s">
        <v>216</v>
      </c>
      <c r="CV426" t="s">
        <v>214</v>
      </c>
      <c r="CW426" t="s">
        <v>214</v>
      </c>
      <c r="CX426" t="s">
        <v>217</v>
      </c>
      <c r="CY426" t="s">
        <v>214</v>
      </c>
      <c r="DA426" t="s">
        <v>218</v>
      </c>
    </row>
    <row r="427" spans="1:105" x14ac:dyDescent="0.3">
      <c r="A427">
        <v>16044068</v>
      </c>
      <c r="B427">
        <v>619985</v>
      </c>
      <c r="C427" t="str">
        <f>"140615504651"</f>
        <v>140615504651</v>
      </c>
      <c r="D427" t="s">
        <v>1242</v>
      </c>
      <c r="E427" t="s">
        <v>1243</v>
      </c>
      <c r="F427" t="s">
        <v>1244</v>
      </c>
      <c r="G427" s="1">
        <v>41805</v>
      </c>
      <c r="I427" t="s">
        <v>187</v>
      </c>
      <c r="J427" t="s">
        <v>188</v>
      </c>
      <c r="K427" t="s">
        <v>189</v>
      </c>
      <c r="Y427" t="str">
        <f t="shared" ref="Y427:Y433" si="16">"2020-08-28T00:00:00"</f>
        <v>2020-08-28T00:00:00</v>
      </c>
      <c r="Z427" t="str">
        <f t="shared" ref="Z427:Z433" si="17">"20"</f>
        <v>20</v>
      </c>
      <c r="AA427" t="s">
        <v>190</v>
      </c>
      <c r="AC427" t="s">
        <v>225</v>
      </c>
      <c r="AD427" t="s">
        <v>899</v>
      </c>
      <c r="AE427" t="s">
        <v>227</v>
      </c>
      <c r="AF427" t="s">
        <v>194</v>
      </c>
      <c r="AH427" t="s">
        <v>195</v>
      </c>
      <c r="AI427">
        <v>2</v>
      </c>
      <c r="AJ427" t="s">
        <v>196</v>
      </c>
      <c r="AK427" t="s">
        <v>194</v>
      </c>
      <c r="AL427" t="s">
        <v>197</v>
      </c>
      <c r="AM427" t="s">
        <v>198</v>
      </c>
      <c r="AR427" t="s">
        <v>194</v>
      </c>
      <c r="AS427" t="s">
        <v>199</v>
      </c>
      <c r="AU427" t="s">
        <v>197</v>
      </c>
      <c r="AZ427" t="s">
        <v>194</v>
      </c>
      <c r="BB427" t="s">
        <v>201</v>
      </c>
      <c r="BD427" t="s">
        <v>200</v>
      </c>
      <c r="BE427" t="s">
        <v>900</v>
      </c>
      <c r="BF427" t="s">
        <v>197</v>
      </c>
      <c r="BJ427" t="s">
        <v>205</v>
      </c>
      <c r="BK427" t="s">
        <v>206</v>
      </c>
      <c r="BL427" t="s">
        <v>194</v>
      </c>
      <c r="BO427" t="s">
        <v>200</v>
      </c>
      <c r="BP427" t="s">
        <v>200</v>
      </c>
      <c r="BQ427" t="s">
        <v>280</v>
      </c>
      <c r="BR427" t="s">
        <v>232</v>
      </c>
      <c r="BT427" t="s">
        <v>197</v>
      </c>
      <c r="BV427" t="s">
        <v>233</v>
      </c>
      <c r="CA427" t="s">
        <v>194</v>
      </c>
      <c r="CB427" t="s">
        <v>214</v>
      </c>
      <c r="CF427" t="s">
        <v>215</v>
      </c>
      <c r="CH427" t="s">
        <v>214</v>
      </c>
      <c r="CI427" t="s">
        <v>214</v>
      </c>
      <c r="CJ427" t="s">
        <v>214</v>
      </c>
      <c r="CP427" t="s">
        <v>214</v>
      </c>
      <c r="CS427" t="s">
        <v>216</v>
      </c>
      <c r="CV427" t="s">
        <v>214</v>
      </c>
      <c r="CW427" t="s">
        <v>214</v>
      </c>
      <c r="CX427" t="s">
        <v>217</v>
      </c>
      <c r="CY427" t="s">
        <v>214</v>
      </c>
      <c r="DA427" t="s">
        <v>218</v>
      </c>
    </row>
    <row r="428" spans="1:105" x14ac:dyDescent="0.3">
      <c r="A428">
        <v>16044344</v>
      </c>
      <c r="B428">
        <v>955265</v>
      </c>
      <c r="C428" t="str">
        <f>"140929502127"</f>
        <v>140929502127</v>
      </c>
      <c r="D428" t="s">
        <v>1245</v>
      </c>
      <c r="E428" t="s">
        <v>1246</v>
      </c>
      <c r="F428" t="s">
        <v>686</v>
      </c>
      <c r="G428" s="1">
        <v>41911</v>
      </c>
      <c r="I428" t="s">
        <v>187</v>
      </c>
      <c r="J428" t="s">
        <v>188</v>
      </c>
      <c r="K428" t="s">
        <v>189</v>
      </c>
      <c r="Y428" t="str">
        <f t="shared" si="16"/>
        <v>2020-08-28T00:00:00</v>
      </c>
      <c r="Z428" t="str">
        <f t="shared" si="17"/>
        <v>20</v>
      </c>
      <c r="AA428" t="s">
        <v>190</v>
      </c>
      <c r="AC428" t="s">
        <v>225</v>
      </c>
      <c r="AD428" t="s">
        <v>899</v>
      </c>
      <c r="AE428" t="s">
        <v>227</v>
      </c>
      <c r="AF428" t="s">
        <v>194</v>
      </c>
      <c r="AH428" t="s">
        <v>195</v>
      </c>
      <c r="AI428">
        <v>2</v>
      </c>
      <c r="AJ428" t="s">
        <v>196</v>
      </c>
      <c r="AK428" t="s">
        <v>194</v>
      </c>
      <c r="AL428" t="s">
        <v>197</v>
      </c>
      <c r="AM428" t="s">
        <v>198</v>
      </c>
      <c r="AR428" t="s">
        <v>214</v>
      </c>
      <c r="AU428" t="s">
        <v>197</v>
      </c>
      <c r="AZ428" t="s">
        <v>194</v>
      </c>
      <c r="BB428" t="s">
        <v>201</v>
      </c>
      <c r="BD428" t="s">
        <v>200</v>
      </c>
      <c r="BE428" t="s">
        <v>900</v>
      </c>
      <c r="BF428" t="s">
        <v>197</v>
      </c>
      <c r="BJ428" t="s">
        <v>205</v>
      </c>
      <c r="BK428" t="s">
        <v>206</v>
      </c>
      <c r="BL428" t="s">
        <v>194</v>
      </c>
      <c r="BO428" t="s">
        <v>200</v>
      </c>
      <c r="BP428" t="s">
        <v>200</v>
      </c>
      <c r="BQ428" t="s">
        <v>280</v>
      </c>
      <c r="BR428" t="s">
        <v>232</v>
      </c>
      <c r="BT428" t="s">
        <v>197</v>
      </c>
      <c r="BV428" t="s">
        <v>233</v>
      </c>
      <c r="CA428" t="s">
        <v>194</v>
      </c>
      <c r="CB428" t="s">
        <v>214</v>
      </c>
      <c r="CF428" t="s">
        <v>215</v>
      </c>
      <c r="CH428" t="s">
        <v>214</v>
      </c>
      <c r="CI428" t="s">
        <v>214</v>
      </c>
      <c r="CJ428" t="s">
        <v>214</v>
      </c>
      <c r="CP428" t="s">
        <v>214</v>
      </c>
      <c r="CS428" t="s">
        <v>216</v>
      </c>
      <c r="CV428" t="s">
        <v>214</v>
      </c>
      <c r="CW428" t="s">
        <v>214</v>
      </c>
      <c r="CX428" t="s">
        <v>217</v>
      </c>
      <c r="CY428" t="s">
        <v>214</v>
      </c>
      <c r="DA428" t="s">
        <v>218</v>
      </c>
    </row>
    <row r="429" spans="1:105" x14ac:dyDescent="0.3">
      <c r="A429">
        <v>16044545</v>
      </c>
      <c r="B429">
        <v>621692</v>
      </c>
      <c r="C429" t="str">
        <f>"141104501007"</f>
        <v>141104501007</v>
      </c>
      <c r="D429" t="s">
        <v>1247</v>
      </c>
      <c r="E429" t="s">
        <v>1248</v>
      </c>
      <c r="F429" t="s">
        <v>390</v>
      </c>
      <c r="G429" s="1">
        <v>41947</v>
      </c>
      <c r="I429" t="s">
        <v>187</v>
      </c>
      <c r="J429" t="s">
        <v>188</v>
      </c>
      <c r="K429" t="s">
        <v>486</v>
      </c>
      <c r="Y429" t="str">
        <f t="shared" si="16"/>
        <v>2020-08-28T00:00:00</v>
      </c>
      <c r="Z429" t="str">
        <f t="shared" si="17"/>
        <v>20</v>
      </c>
      <c r="AA429" t="s">
        <v>190</v>
      </c>
      <c r="AC429" t="s">
        <v>225</v>
      </c>
      <c r="AD429" t="s">
        <v>899</v>
      </c>
      <c r="AE429" t="s">
        <v>227</v>
      </c>
      <c r="AF429" t="s">
        <v>194</v>
      </c>
      <c r="AH429" t="s">
        <v>195</v>
      </c>
      <c r="AI429">
        <v>2</v>
      </c>
      <c r="AJ429" t="s">
        <v>196</v>
      </c>
      <c r="AK429" t="s">
        <v>194</v>
      </c>
      <c r="AL429" t="s">
        <v>197</v>
      </c>
      <c r="AM429" t="s">
        <v>1134</v>
      </c>
      <c r="AR429" t="s">
        <v>194</v>
      </c>
      <c r="AS429" t="s">
        <v>199</v>
      </c>
      <c r="AU429" t="s">
        <v>197</v>
      </c>
      <c r="AZ429" t="s">
        <v>194</v>
      </c>
      <c r="BB429" t="s">
        <v>201</v>
      </c>
      <c r="BD429" t="s">
        <v>200</v>
      </c>
      <c r="BE429" t="s">
        <v>900</v>
      </c>
      <c r="BF429" t="s">
        <v>197</v>
      </c>
      <c r="BJ429" t="s">
        <v>205</v>
      </c>
      <c r="BK429" t="s">
        <v>206</v>
      </c>
      <c r="BL429" t="s">
        <v>194</v>
      </c>
      <c r="BO429" t="s">
        <v>216</v>
      </c>
      <c r="BP429" t="s">
        <v>216</v>
      </c>
      <c r="BQ429" t="s">
        <v>280</v>
      </c>
      <c r="BR429" t="s">
        <v>232</v>
      </c>
      <c r="BT429" t="s">
        <v>197</v>
      </c>
      <c r="BV429" t="s">
        <v>233</v>
      </c>
      <c r="CA429" t="s">
        <v>194</v>
      </c>
      <c r="CB429" t="s">
        <v>214</v>
      </c>
      <c r="CF429" t="s">
        <v>215</v>
      </c>
      <c r="CH429" t="s">
        <v>214</v>
      </c>
      <c r="CI429" t="s">
        <v>214</v>
      </c>
      <c r="CJ429" t="s">
        <v>214</v>
      </c>
      <c r="CP429" t="s">
        <v>214</v>
      </c>
      <c r="CS429" t="s">
        <v>216</v>
      </c>
      <c r="CV429" t="s">
        <v>214</v>
      </c>
      <c r="CW429" t="s">
        <v>214</v>
      </c>
      <c r="CX429" t="s">
        <v>217</v>
      </c>
      <c r="CY429" t="s">
        <v>214</v>
      </c>
      <c r="DA429" t="s">
        <v>218</v>
      </c>
    </row>
    <row r="430" spans="1:105" x14ac:dyDescent="0.3">
      <c r="A430">
        <v>16044631</v>
      </c>
      <c r="B430">
        <v>956128</v>
      </c>
      <c r="C430" t="str">
        <f>"140607500744"</f>
        <v>140607500744</v>
      </c>
      <c r="D430" t="s">
        <v>397</v>
      </c>
      <c r="E430" t="s">
        <v>506</v>
      </c>
      <c r="F430" t="s">
        <v>529</v>
      </c>
      <c r="G430" s="1">
        <v>41797</v>
      </c>
      <c r="I430" t="s">
        <v>187</v>
      </c>
      <c r="J430" t="s">
        <v>188</v>
      </c>
      <c r="K430" t="s">
        <v>345</v>
      </c>
      <c r="Y430" t="str">
        <f t="shared" si="16"/>
        <v>2020-08-28T00:00:00</v>
      </c>
      <c r="Z430" t="str">
        <f t="shared" si="17"/>
        <v>20</v>
      </c>
      <c r="AA430" t="s">
        <v>190</v>
      </c>
      <c r="AC430" t="s">
        <v>225</v>
      </c>
      <c r="AD430" t="s">
        <v>899</v>
      </c>
      <c r="AE430" t="s">
        <v>227</v>
      </c>
      <c r="AF430" t="s">
        <v>194</v>
      </c>
      <c r="AH430" t="s">
        <v>195</v>
      </c>
      <c r="AI430">
        <v>2</v>
      </c>
      <c r="AJ430" t="s">
        <v>196</v>
      </c>
      <c r="AK430" t="s">
        <v>194</v>
      </c>
      <c r="AL430" t="s">
        <v>197</v>
      </c>
      <c r="AM430" t="s">
        <v>198</v>
      </c>
      <c r="AR430" t="s">
        <v>194</v>
      </c>
      <c r="AS430" t="s">
        <v>199</v>
      </c>
      <c r="AU430" t="s">
        <v>197</v>
      </c>
      <c r="AZ430" t="s">
        <v>194</v>
      </c>
      <c r="BB430" t="s">
        <v>201</v>
      </c>
      <c r="BD430" t="s">
        <v>200</v>
      </c>
      <c r="BE430" t="s">
        <v>900</v>
      </c>
      <c r="BF430" t="s">
        <v>197</v>
      </c>
      <c r="BJ430" t="s">
        <v>205</v>
      </c>
      <c r="BK430" t="s">
        <v>206</v>
      </c>
      <c r="BL430" t="s">
        <v>194</v>
      </c>
      <c r="BO430" t="s">
        <v>216</v>
      </c>
      <c r="BP430" t="s">
        <v>216</v>
      </c>
      <c r="BQ430" t="s">
        <v>280</v>
      </c>
      <c r="BR430" t="s">
        <v>232</v>
      </c>
      <c r="BT430" t="s">
        <v>197</v>
      </c>
      <c r="BV430" t="s">
        <v>233</v>
      </c>
      <c r="CA430" t="s">
        <v>194</v>
      </c>
      <c r="CB430" t="s">
        <v>214</v>
      </c>
      <c r="CF430" t="s">
        <v>215</v>
      </c>
      <c r="CH430" t="s">
        <v>214</v>
      </c>
      <c r="CI430" t="s">
        <v>214</v>
      </c>
      <c r="CJ430" t="s">
        <v>214</v>
      </c>
      <c r="CP430" t="s">
        <v>214</v>
      </c>
      <c r="CS430" t="s">
        <v>216</v>
      </c>
      <c r="CV430" t="s">
        <v>214</v>
      </c>
      <c r="CW430" t="s">
        <v>214</v>
      </c>
      <c r="CX430" t="s">
        <v>217</v>
      </c>
      <c r="CY430" t="s">
        <v>214</v>
      </c>
      <c r="DA430" t="s">
        <v>218</v>
      </c>
    </row>
    <row r="431" spans="1:105" x14ac:dyDescent="0.3">
      <c r="A431">
        <v>16044718</v>
      </c>
      <c r="B431">
        <v>9037161</v>
      </c>
      <c r="C431" t="str">
        <f>"141011601701"</f>
        <v>141011601701</v>
      </c>
      <c r="D431" t="s">
        <v>392</v>
      </c>
      <c r="E431" t="s">
        <v>1249</v>
      </c>
      <c r="F431" t="s">
        <v>1250</v>
      </c>
      <c r="G431" s="1">
        <v>41923</v>
      </c>
      <c r="I431" t="s">
        <v>222</v>
      </c>
      <c r="J431" t="s">
        <v>188</v>
      </c>
      <c r="K431" t="s">
        <v>189</v>
      </c>
      <c r="Y431" t="str">
        <f t="shared" si="16"/>
        <v>2020-08-28T00:00:00</v>
      </c>
      <c r="Z431" t="str">
        <f t="shared" si="17"/>
        <v>20</v>
      </c>
      <c r="AA431" t="s">
        <v>190</v>
      </c>
      <c r="AC431" t="s">
        <v>225</v>
      </c>
      <c r="AD431" t="s">
        <v>899</v>
      </c>
      <c r="AE431" t="s">
        <v>227</v>
      </c>
      <c r="AF431" t="s">
        <v>194</v>
      </c>
      <c r="AH431" t="s">
        <v>195</v>
      </c>
      <c r="AI431">
        <v>2</v>
      </c>
      <c r="AJ431" t="s">
        <v>196</v>
      </c>
      <c r="AK431" t="s">
        <v>194</v>
      </c>
      <c r="AL431" t="s">
        <v>197</v>
      </c>
      <c r="AM431" t="s">
        <v>198</v>
      </c>
      <c r="AR431" t="s">
        <v>194</v>
      </c>
      <c r="AS431" t="s">
        <v>199</v>
      </c>
      <c r="AU431" t="s">
        <v>197</v>
      </c>
      <c r="AZ431" t="s">
        <v>194</v>
      </c>
      <c r="BB431" t="s">
        <v>201</v>
      </c>
      <c r="BD431" t="s">
        <v>200</v>
      </c>
      <c r="BE431" t="s">
        <v>900</v>
      </c>
      <c r="BF431" t="s">
        <v>197</v>
      </c>
      <c r="BJ431" t="s">
        <v>205</v>
      </c>
      <c r="BK431" t="s">
        <v>206</v>
      </c>
      <c r="BL431" t="s">
        <v>194</v>
      </c>
      <c r="BO431" t="s">
        <v>200</v>
      </c>
      <c r="BP431" t="s">
        <v>200</v>
      </c>
      <c r="BQ431" t="s">
        <v>280</v>
      </c>
      <c r="BR431" t="s">
        <v>232</v>
      </c>
      <c r="BT431" t="s">
        <v>197</v>
      </c>
      <c r="BV431" t="s">
        <v>233</v>
      </c>
      <c r="CA431" t="s">
        <v>194</v>
      </c>
      <c r="CB431" t="s">
        <v>214</v>
      </c>
      <c r="CF431" t="s">
        <v>215</v>
      </c>
      <c r="CH431" t="s">
        <v>214</v>
      </c>
      <c r="CI431" t="s">
        <v>214</v>
      </c>
      <c r="CJ431" t="s">
        <v>214</v>
      </c>
      <c r="CP431" t="s">
        <v>214</v>
      </c>
      <c r="CS431" t="s">
        <v>216</v>
      </c>
      <c r="CV431" t="s">
        <v>214</v>
      </c>
      <c r="CW431" t="s">
        <v>214</v>
      </c>
      <c r="CX431" t="s">
        <v>217</v>
      </c>
      <c r="CY431" t="s">
        <v>214</v>
      </c>
      <c r="DA431" t="s">
        <v>218</v>
      </c>
    </row>
    <row r="432" spans="1:105" x14ac:dyDescent="0.3">
      <c r="A432">
        <v>16045334</v>
      </c>
      <c r="B432">
        <v>624000</v>
      </c>
      <c r="C432" t="str">
        <f>"150920602453"</f>
        <v>150920602453</v>
      </c>
      <c r="D432" t="s">
        <v>1251</v>
      </c>
      <c r="E432" t="s">
        <v>1252</v>
      </c>
      <c r="F432" t="s">
        <v>714</v>
      </c>
      <c r="G432" s="1">
        <v>42267</v>
      </c>
      <c r="I432" t="s">
        <v>222</v>
      </c>
      <c r="J432" t="s">
        <v>188</v>
      </c>
      <c r="K432" t="s">
        <v>189</v>
      </c>
      <c r="Y432" t="str">
        <f t="shared" si="16"/>
        <v>2020-08-28T00:00:00</v>
      </c>
      <c r="Z432" t="str">
        <f t="shared" si="17"/>
        <v>20</v>
      </c>
      <c r="AA432" t="s">
        <v>190</v>
      </c>
      <c r="AC432" t="s">
        <v>225</v>
      </c>
      <c r="AD432" t="s">
        <v>899</v>
      </c>
      <c r="AE432" t="s">
        <v>227</v>
      </c>
      <c r="AF432" t="s">
        <v>194</v>
      </c>
      <c r="AH432" t="s">
        <v>195</v>
      </c>
      <c r="AI432">
        <v>2</v>
      </c>
      <c r="AJ432" t="s">
        <v>196</v>
      </c>
      <c r="AK432" t="s">
        <v>194</v>
      </c>
      <c r="AL432" t="s">
        <v>197</v>
      </c>
      <c r="AM432" t="s">
        <v>198</v>
      </c>
      <c r="AR432" t="s">
        <v>194</v>
      </c>
      <c r="AS432" t="s">
        <v>199</v>
      </c>
      <c r="AU432" t="s">
        <v>197</v>
      </c>
      <c r="AZ432" t="s">
        <v>194</v>
      </c>
      <c r="BB432" t="s">
        <v>201</v>
      </c>
      <c r="BD432" t="s">
        <v>200</v>
      </c>
      <c r="BE432" t="s">
        <v>900</v>
      </c>
      <c r="BF432" t="s">
        <v>197</v>
      </c>
      <c r="BJ432" t="s">
        <v>205</v>
      </c>
      <c r="BK432" t="s">
        <v>206</v>
      </c>
      <c r="BL432" t="s">
        <v>194</v>
      </c>
      <c r="BO432" t="s">
        <v>200</v>
      </c>
      <c r="BP432" t="s">
        <v>200</v>
      </c>
      <c r="BQ432" t="s">
        <v>280</v>
      </c>
      <c r="BR432" t="s">
        <v>232</v>
      </c>
      <c r="BT432" t="s">
        <v>197</v>
      </c>
      <c r="BV432" t="s">
        <v>233</v>
      </c>
      <c r="CA432" t="s">
        <v>194</v>
      </c>
      <c r="CB432" t="s">
        <v>214</v>
      </c>
      <c r="CF432" t="s">
        <v>215</v>
      </c>
      <c r="CH432" t="s">
        <v>214</v>
      </c>
      <c r="CI432" t="s">
        <v>214</v>
      </c>
      <c r="CJ432" t="s">
        <v>214</v>
      </c>
      <c r="CP432" t="s">
        <v>214</v>
      </c>
      <c r="CS432" t="s">
        <v>216</v>
      </c>
      <c r="CV432" t="s">
        <v>214</v>
      </c>
      <c r="CW432" t="s">
        <v>214</v>
      </c>
      <c r="CX432" t="s">
        <v>217</v>
      </c>
      <c r="CY432" t="s">
        <v>214</v>
      </c>
      <c r="DA432" t="s">
        <v>218</v>
      </c>
    </row>
    <row r="433" spans="1:105" x14ac:dyDescent="0.3">
      <c r="A433">
        <v>16045854</v>
      </c>
      <c r="B433">
        <v>4189351</v>
      </c>
      <c r="C433" t="str">
        <f>"150623500773"</f>
        <v>150623500773</v>
      </c>
      <c r="D433" t="s">
        <v>1253</v>
      </c>
      <c r="E433" t="s">
        <v>685</v>
      </c>
      <c r="F433" t="s">
        <v>1254</v>
      </c>
      <c r="G433" s="1">
        <v>42178</v>
      </c>
      <c r="I433" t="s">
        <v>187</v>
      </c>
      <c r="J433" t="s">
        <v>188</v>
      </c>
      <c r="K433" t="s">
        <v>189</v>
      </c>
      <c r="Y433" t="str">
        <f t="shared" si="16"/>
        <v>2020-08-28T00:00:00</v>
      </c>
      <c r="Z433" t="str">
        <f t="shared" si="17"/>
        <v>20</v>
      </c>
      <c r="AA433" t="s">
        <v>190</v>
      </c>
      <c r="AC433" t="s">
        <v>225</v>
      </c>
      <c r="AD433" t="s">
        <v>899</v>
      </c>
      <c r="AE433" t="s">
        <v>413</v>
      </c>
      <c r="AF433" t="s">
        <v>194</v>
      </c>
      <c r="AH433" t="s">
        <v>195</v>
      </c>
      <c r="AI433">
        <v>2</v>
      </c>
      <c r="AJ433" t="s">
        <v>196</v>
      </c>
      <c r="AK433" t="s">
        <v>194</v>
      </c>
      <c r="AL433" t="s">
        <v>197</v>
      </c>
      <c r="AM433" t="s">
        <v>198</v>
      </c>
      <c r="AR433" t="s">
        <v>194</v>
      </c>
      <c r="AS433" t="s">
        <v>199</v>
      </c>
      <c r="AU433" t="s">
        <v>197</v>
      </c>
      <c r="AZ433" t="s">
        <v>194</v>
      </c>
      <c r="BB433" t="s">
        <v>201</v>
      </c>
      <c r="BD433" t="s">
        <v>200</v>
      </c>
      <c r="BE433" t="s">
        <v>900</v>
      </c>
      <c r="BF433" t="s">
        <v>197</v>
      </c>
      <c r="BJ433" t="s">
        <v>205</v>
      </c>
      <c r="BK433" t="s">
        <v>206</v>
      </c>
      <c r="BL433" t="s">
        <v>194</v>
      </c>
      <c r="BO433" t="s">
        <v>200</v>
      </c>
      <c r="BP433" t="s">
        <v>200</v>
      </c>
      <c r="BQ433" t="s">
        <v>280</v>
      </c>
      <c r="BR433" t="s">
        <v>232</v>
      </c>
      <c r="BT433" t="s">
        <v>197</v>
      </c>
      <c r="BV433" t="s">
        <v>233</v>
      </c>
      <c r="CA433" t="s">
        <v>194</v>
      </c>
      <c r="CB433" t="s">
        <v>214</v>
      </c>
      <c r="CF433" t="s">
        <v>215</v>
      </c>
      <c r="CH433" t="s">
        <v>214</v>
      </c>
      <c r="CI433" t="s">
        <v>214</v>
      </c>
      <c r="CJ433" t="s">
        <v>214</v>
      </c>
      <c r="CP433" t="s">
        <v>214</v>
      </c>
      <c r="CS433" t="s">
        <v>216</v>
      </c>
      <c r="CV433" t="s">
        <v>214</v>
      </c>
      <c r="CW433" t="s">
        <v>214</v>
      </c>
      <c r="CX433" t="s">
        <v>217</v>
      </c>
      <c r="CY433" t="s">
        <v>214</v>
      </c>
      <c r="DA433" t="s">
        <v>218</v>
      </c>
    </row>
    <row r="434" spans="1:105" x14ac:dyDescent="0.3">
      <c r="A434">
        <v>16081613</v>
      </c>
      <c r="B434">
        <v>955260</v>
      </c>
      <c r="C434" t="str">
        <f>"140327506018"</f>
        <v>140327506018</v>
      </c>
      <c r="D434" t="s">
        <v>1255</v>
      </c>
      <c r="E434" t="s">
        <v>1256</v>
      </c>
      <c r="F434" t="s">
        <v>460</v>
      </c>
      <c r="G434" s="1">
        <v>41725</v>
      </c>
      <c r="I434" t="s">
        <v>187</v>
      </c>
      <c r="J434" t="s">
        <v>188</v>
      </c>
      <c r="K434" t="s">
        <v>223</v>
      </c>
      <c r="Y434" t="str">
        <f>"2020-07-20T00:00:00"</f>
        <v>2020-07-20T00:00:00</v>
      </c>
      <c r="Z434" t="str">
        <f>"13"</f>
        <v>13</v>
      </c>
      <c r="AA434" t="s">
        <v>190</v>
      </c>
      <c r="AC434" t="s">
        <v>225</v>
      </c>
      <c r="AD434" t="s">
        <v>815</v>
      </c>
      <c r="AE434" t="s">
        <v>193</v>
      </c>
      <c r="AF434" t="s">
        <v>194</v>
      </c>
      <c r="AH434" t="s">
        <v>195</v>
      </c>
      <c r="AI434">
        <v>1</v>
      </c>
      <c r="AJ434" t="s">
        <v>196</v>
      </c>
      <c r="AK434" t="s">
        <v>194</v>
      </c>
      <c r="AL434" t="s">
        <v>197</v>
      </c>
      <c r="AM434" t="s">
        <v>198</v>
      </c>
      <c r="AR434" t="s">
        <v>194</v>
      </c>
      <c r="AS434" t="s">
        <v>199</v>
      </c>
      <c r="AU434" t="s">
        <v>197</v>
      </c>
      <c r="AZ434" t="s">
        <v>194</v>
      </c>
      <c r="BB434" t="s">
        <v>201</v>
      </c>
      <c r="BD434" t="s">
        <v>200</v>
      </c>
      <c r="BE434" t="s">
        <v>229</v>
      </c>
      <c r="BF434" t="s">
        <v>197</v>
      </c>
      <c r="BG434" t="s">
        <v>230</v>
      </c>
      <c r="BH434" t="s">
        <v>307</v>
      </c>
      <c r="BJ434" t="s">
        <v>205</v>
      </c>
      <c r="BK434" t="s">
        <v>206</v>
      </c>
      <c r="BL434" t="s">
        <v>194</v>
      </c>
      <c r="BO434" t="s">
        <v>200</v>
      </c>
      <c r="BP434" t="s">
        <v>200</v>
      </c>
      <c r="BQ434" t="s">
        <v>280</v>
      </c>
      <c r="BR434" t="s">
        <v>232</v>
      </c>
      <c r="BT434" t="s">
        <v>197</v>
      </c>
      <c r="BV434" t="s">
        <v>233</v>
      </c>
      <c r="CA434" t="s">
        <v>194</v>
      </c>
      <c r="CB434" t="s">
        <v>214</v>
      </c>
      <c r="CF434" t="s">
        <v>215</v>
      </c>
      <c r="CH434" t="s">
        <v>214</v>
      </c>
      <c r="CI434" t="s">
        <v>214</v>
      </c>
      <c r="CJ434" t="s">
        <v>214</v>
      </c>
      <c r="CP434" t="s">
        <v>214</v>
      </c>
      <c r="CS434" t="s">
        <v>216</v>
      </c>
      <c r="CV434" t="s">
        <v>214</v>
      </c>
      <c r="CW434" t="s">
        <v>214</v>
      </c>
      <c r="CX434" t="s">
        <v>217</v>
      </c>
      <c r="CY434" t="s">
        <v>214</v>
      </c>
      <c r="DA434" t="s">
        <v>218</v>
      </c>
    </row>
    <row r="435" spans="1:105" x14ac:dyDescent="0.3">
      <c r="A435">
        <v>16100070</v>
      </c>
      <c r="B435">
        <v>6457445</v>
      </c>
      <c r="C435" t="str">
        <f>"130926504492"</f>
        <v>130926504492</v>
      </c>
      <c r="D435" t="s">
        <v>1257</v>
      </c>
      <c r="E435" t="s">
        <v>685</v>
      </c>
      <c r="F435" t="s">
        <v>1258</v>
      </c>
      <c r="G435" s="1">
        <v>41543</v>
      </c>
      <c r="I435" t="s">
        <v>187</v>
      </c>
      <c r="J435" t="s">
        <v>188</v>
      </c>
      <c r="K435" t="s">
        <v>189</v>
      </c>
      <c r="Y435" t="str">
        <f>"2020-07-30T00:00:00"</f>
        <v>2020-07-30T00:00:00</v>
      </c>
      <c r="Z435" t="str">
        <f>"13"</f>
        <v>13</v>
      </c>
      <c r="AA435" t="s">
        <v>190</v>
      </c>
      <c r="AC435" t="s">
        <v>225</v>
      </c>
      <c r="AD435" t="s">
        <v>815</v>
      </c>
      <c r="AE435" t="s">
        <v>193</v>
      </c>
      <c r="AF435" t="s">
        <v>194</v>
      </c>
      <c r="AH435" t="s">
        <v>195</v>
      </c>
      <c r="AI435">
        <v>1</v>
      </c>
      <c r="AJ435" t="s">
        <v>196</v>
      </c>
      <c r="AK435" t="s">
        <v>194</v>
      </c>
      <c r="AL435" t="s">
        <v>197</v>
      </c>
      <c r="AM435" t="s">
        <v>198</v>
      </c>
      <c r="AR435" t="s">
        <v>194</v>
      </c>
      <c r="AS435" t="s">
        <v>199</v>
      </c>
      <c r="AU435" t="s">
        <v>197</v>
      </c>
      <c r="AZ435" t="s">
        <v>194</v>
      </c>
      <c r="BB435" t="s">
        <v>201</v>
      </c>
      <c r="BD435" t="s">
        <v>200</v>
      </c>
      <c r="BE435" t="s">
        <v>229</v>
      </c>
      <c r="BF435" t="s">
        <v>197</v>
      </c>
      <c r="BG435" t="s">
        <v>230</v>
      </c>
      <c r="BH435" t="s">
        <v>307</v>
      </c>
      <c r="BJ435" t="s">
        <v>205</v>
      </c>
      <c r="BK435" t="s">
        <v>206</v>
      </c>
      <c r="BL435" t="s">
        <v>194</v>
      </c>
      <c r="BO435" t="s">
        <v>200</v>
      </c>
      <c r="BP435" t="s">
        <v>200</v>
      </c>
      <c r="BQ435" t="s">
        <v>280</v>
      </c>
      <c r="BR435" t="s">
        <v>232</v>
      </c>
      <c r="BT435" t="s">
        <v>197</v>
      </c>
      <c r="BV435" t="s">
        <v>415</v>
      </c>
      <c r="BW435" t="s">
        <v>416</v>
      </c>
      <c r="BX435" t="s">
        <v>539</v>
      </c>
      <c r="BY435" t="s">
        <v>534</v>
      </c>
      <c r="BZ435" t="s">
        <v>616</v>
      </c>
      <c r="CA435" t="s">
        <v>194</v>
      </c>
      <c r="CB435" t="s">
        <v>214</v>
      </c>
      <c r="CF435" t="s">
        <v>215</v>
      </c>
      <c r="CH435" t="s">
        <v>214</v>
      </c>
      <c r="CI435" t="s">
        <v>214</v>
      </c>
      <c r="CJ435" t="s">
        <v>214</v>
      </c>
      <c r="CP435" t="s">
        <v>214</v>
      </c>
      <c r="CS435" t="s">
        <v>216</v>
      </c>
      <c r="CV435" t="s">
        <v>214</v>
      </c>
      <c r="CW435" t="s">
        <v>214</v>
      </c>
      <c r="CX435" t="s">
        <v>217</v>
      </c>
      <c r="CY435" t="s">
        <v>214</v>
      </c>
      <c r="DA435" t="s">
        <v>218</v>
      </c>
    </row>
    <row r="436" spans="1:105" x14ac:dyDescent="0.3">
      <c r="A436">
        <v>15576932</v>
      </c>
      <c r="B436">
        <v>9722958</v>
      </c>
      <c r="C436" t="str">
        <f>"140330501509"</f>
        <v>140330501509</v>
      </c>
      <c r="D436" t="s">
        <v>380</v>
      </c>
      <c r="E436" t="s">
        <v>1259</v>
      </c>
      <c r="F436" t="s">
        <v>524</v>
      </c>
      <c r="G436" s="1">
        <v>41728</v>
      </c>
      <c r="I436" t="s">
        <v>187</v>
      </c>
      <c r="J436" t="s">
        <v>188</v>
      </c>
      <c r="K436" t="s">
        <v>189</v>
      </c>
      <c r="Y436" t="str">
        <f>"2020-07-08T00:00:00"</f>
        <v>2020-07-08T00:00:00</v>
      </c>
      <c r="Z436" t="str">
        <f>"12"</f>
        <v>12</v>
      </c>
      <c r="AA436" t="s">
        <v>190</v>
      </c>
      <c r="AC436" t="s">
        <v>225</v>
      </c>
      <c r="AD436" t="s">
        <v>815</v>
      </c>
      <c r="AE436" t="s">
        <v>227</v>
      </c>
      <c r="AF436" t="s">
        <v>194</v>
      </c>
      <c r="AH436" t="s">
        <v>195</v>
      </c>
      <c r="AI436">
        <v>1</v>
      </c>
      <c r="AJ436" t="s">
        <v>196</v>
      </c>
      <c r="AK436" t="s">
        <v>194</v>
      </c>
      <c r="AL436" t="s">
        <v>197</v>
      </c>
      <c r="AM436" t="s">
        <v>198</v>
      </c>
      <c r="AR436" t="s">
        <v>194</v>
      </c>
      <c r="AS436" t="s">
        <v>199</v>
      </c>
      <c r="AU436" t="s">
        <v>197</v>
      </c>
      <c r="AZ436" t="s">
        <v>194</v>
      </c>
      <c r="BB436" t="s">
        <v>201</v>
      </c>
      <c r="BE436" t="s">
        <v>229</v>
      </c>
      <c r="BF436" t="s">
        <v>197</v>
      </c>
      <c r="BG436" t="s">
        <v>230</v>
      </c>
      <c r="BH436" t="s">
        <v>307</v>
      </c>
      <c r="BJ436" t="s">
        <v>205</v>
      </c>
      <c r="BK436" t="s">
        <v>206</v>
      </c>
      <c r="BL436" t="s">
        <v>194</v>
      </c>
      <c r="BO436" t="s">
        <v>200</v>
      </c>
      <c r="BP436" t="s">
        <v>200</v>
      </c>
      <c r="BQ436" t="s">
        <v>286</v>
      </c>
      <c r="BR436" t="s">
        <v>232</v>
      </c>
      <c r="BT436" t="s">
        <v>197</v>
      </c>
      <c r="BV436" t="s">
        <v>233</v>
      </c>
      <c r="CA436" t="s">
        <v>194</v>
      </c>
      <c r="CB436" t="s">
        <v>214</v>
      </c>
      <c r="CF436" t="s">
        <v>215</v>
      </c>
      <c r="CH436" t="s">
        <v>214</v>
      </c>
      <c r="CI436" t="s">
        <v>214</v>
      </c>
      <c r="CJ436" t="s">
        <v>214</v>
      </c>
      <c r="CP436" t="s">
        <v>214</v>
      </c>
      <c r="CS436" t="s">
        <v>216</v>
      </c>
      <c r="CV436" t="s">
        <v>214</v>
      </c>
      <c r="CW436" t="s">
        <v>214</v>
      </c>
      <c r="CX436" t="s">
        <v>217</v>
      </c>
      <c r="CY436" t="s">
        <v>214</v>
      </c>
      <c r="DA436" t="s">
        <v>218</v>
      </c>
    </row>
    <row r="437" spans="1:105" x14ac:dyDescent="0.3">
      <c r="A437">
        <v>16100280</v>
      </c>
      <c r="B437">
        <v>5181958</v>
      </c>
      <c r="C437" t="str">
        <f>"140212503761"</f>
        <v>140212503761</v>
      </c>
      <c r="D437" t="s">
        <v>1260</v>
      </c>
      <c r="E437" t="s">
        <v>434</v>
      </c>
      <c r="F437" t="s">
        <v>1261</v>
      </c>
      <c r="G437" s="1">
        <v>41682</v>
      </c>
      <c r="I437" t="s">
        <v>187</v>
      </c>
      <c r="J437" t="s">
        <v>188</v>
      </c>
      <c r="K437" t="s">
        <v>223</v>
      </c>
      <c r="Y437" t="str">
        <f>"2020-08-29T00:00:00"</f>
        <v>2020-08-29T00:00:00</v>
      </c>
      <c r="Z437" t="str">
        <f>"14"</f>
        <v>14</v>
      </c>
      <c r="AA437" t="s">
        <v>190</v>
      </c>
      <c r="AC437" t="s">
        <v>225</v>
      </c>
      <c r="AD437" t="s">
        <v>815</v>
      </c>
      <c r="AE437" t="s">
        <v>243</v>
      </c>
      <c r="AF437" t="s">
        <v>194</v>
      </c>
      <c r="AH437" t="s">
        <v>195</v>
      </c>
      <c r="AI437">
        <v>1</v>
      </c>
      <c r="AJ437" t="s">
        <v>196</v>
      </c>
      <c r="AK437" t="s">
        <v>194</v>
      </c>
      <c r="AL437" t="s">
        <v>197</v>
      </c>
      <c r="AM437" t="s">
        <v>198</v>
      </c>
      <c r="AR437" t="s">
        <v>194</v>
      </c>
      <c r="AS437" t="s">
        <v>199</v>
      </c>
      <c r="AU437" t="s">
        <v>197</v>
      </c>
      <c r="AZ437" t="s">
        <v>194</v>
      </c>
      <c r="BB437" t="s">
        <v>201</v>
      </c>
      <c r="BD437" t="s">
        <v>200</v>
      </c>
      <c r="BE437" t="s">
        <v>229</v>
      </c>
      <c r="BF437" t="s">
        <v>197</v>
      </c>
      <c r="BG437" t="s">
        <v>230</v>
      </c>
      <c r="BH437" t="s">
        <v>307</v>
      </c>
      <c r="BJ437" t="s">
        <v>205</v>
      </c>
      <c r="BK437" t="s">
        <v>206</v>
      </c>
      <c r="BL437" t="s">
        <v>194</v>
      </c>
      <c r="BO437" t="s">
        <v>200</v>
      </c>
      <c r="BP437" t="s">
        <v>200</v>
      </c>
      <c r="BQ437" t="s">
        <v>280</v>
      </c>
      <c r="BR437" t="s">
        <v>232</v>
      </c>
      <c r="BT437" t="s">
        <v>197</v>
      </c>
      <c r="BV437" t="s">
        <v>233</v>
      </c>
      <c r="CA437" t="s">
        <v>194</v>
      </c>
      <c r="CB437" t="s">
        <v>214</v>
      </c>
      <c r="CF437" t="s">
        <v>215</v>
      </c>
      <c r="CH437" t="s">
        <v>214</v>
      </c>
      <c r="CI437" t="s">
        <v>214</v>
      </c>
      <c r="CJ437" t="s">
        <v>214</v>
      </c>
      <c r="CP437" t="s">
        <v>214</v>
      </c>
      <c r="CS437" t="s">
        <v>216</v>
      </c>
      <c r="CV437" t="s">
        <v>214</v>
      </c>
      <c r="CW437" t="s">
        <v>214</v>
      </c>
      <c r="CX437" t="s">
        <v>217</v>
      </c>
      <c r="CY437" t="s">
        <v>214</v>
      </c>
      <c r="DA437" t="s">
        <v>218</v>
      </c>
    </row>
    <row r="438" spans="1:105" x14ac:dyDescent="0.3">
      <c r="A438">
        <v>16101523</v>
      </c>
      <c r="B438">
        <v>9832932</v>
      </c>
      <c r="C438" t="str">
        <f>"120727505269"</f>
        <v>120727505269</v>
      </c>
      <c r="D438" t="s">
        <v>784</v>
      </c>
      <c r="E438" t="s">
        <v>889</v>
      </c>
      <c r="F438" t="s">
        <v>742</v>
      </c>
      <c r="G438" s="1">
        <v>41117</v>
      </c>
      <c r="I438" t="s">
        <v>187</v>
      </c>
      <c r="J438" t="s">
        <v>188</v>
      </c>
      <c r="K438" t="s">
        <v>338</v>
      </c>
      <c r="Y438" t="str">
        <f>"2019-08-28T00:00:00"</f>
        <v>2019-08-28T00:00:00</v>
      </c>
      <c r="Z438" t="str">
        <f>"32"</f>
        <v>32</v>
      </c>
      <c r="AA438" t="s">
        <v>190</v>
      </c>
      <c r="AC438" t="s">
        <v>225</v>
      </c>
      <c r="AD438" t="s">
        <v>285</v>
      </c>
      <c r="AE438" t="s">
        <v>243</v>
      </c>
      <c r="AF438" t="s">
        <v>194</v>
      </c>
      <c r="AH438" t="s">
        <v>195</v>
      </c>
      <c r="AI438">
        <v>2</v>
      </c>
      <c r="AJ438" t="s">
        <v>196</v>
      </c>
      <c r="AK438" t="s">
        <v>194</v>
      </c>
      <c r="AL438" t="s">
        <v>197</v>
      </c>
      <c r="AM438" t="s">
        <v>198</v>
      </c>
      <c r="AR438" t="s">
        <v>194</v>
      </c>
      <c r="AS438" t="s">
        <v>199</v>
      </c>
      <c r="AU438" t="s">
        <v>197</v>
      </c>
      <c r="AZ438" t="s">
        <v>194</v>
      </c>
      <c r="BB438" t="s">
        <v>201</v>
      </c>
      <c r="BD438" t="s">
        <v>200</v>
      </c>
      <c r="BE438" t="s">
        <v>229</v>
      </c>
      <c r="BF438" t="s">
        <v>197</v>
      </c>
      <c r="BG438" t="s">
        <v>269</v>
      </c>
      <c r="BH438" t="s">
        <v>270</v>
      </c>
      <c r="BJ438" t="s">
        <v>205</v>
      </c>
      <c r="BK438" t="s">
        <v>206</v>
      </c>
      <c r="BL438" t="s">
        <v>194</v>
      </c>
      <c r="BO438" t="s">
        <v>216</v>
      </c>
      <c r="BP438" t="s">
        <v>216</v>
      </c>
      <c r="BQ438" t="s">
        <v>271</v>
      </c>
      <c r="BR438" t="s">
        <v>232</v>
      </c>
      <c r="BT438" t="s">
        <v>197</v>
      </c>
      <c r="BV438" t="s">
        <v>233</v>
      </c>
      <c r="CA438" t="s">
        <v>194</v>
      </c>
      <c r="CB438" t="s">
        <v>214</v>
      </c>
      <c r="CF438" t="s">
        <v>215</v>
      </c>
      <c r="CH438" t="s">
        <v>214</v>
      </c>
      <c r="CI438" t="s">
        <v>214</v>
      </c>
      <c r="CJ438" t="s">
        <v>214</v>
      </c>
      <c r="CP438" t="s">
        <v>214</v>
      </c>
      <c r="CS438" t="s">
        <v>216</v>
      </c>
      <c r="CV438" t="s">
        <v>214</v>
      </c>
      <c r="CW438" t="s">
        <v>214</v>
      </c>
      <c r="CX438" t="s">
        <v>217</v>
      </c>
      <c r="CY438" t="s">
        <v>214</v>
      </c>
      <c r="DA438" t="s">
        <v>218</v>
      </c>
    </row>
    <row r="439" spans="1:105" x14ac:dyDescent="0.3">
      <c r="A439">
        <v>16229797</v>
      </c>
      <c r="B439">
        <v>956080</v>
      </c>
      <c r="C439" t="str">
        <f>"130924503235"</f>
        <v>130924503235</v>
      </c>
      <c r="D439" t="s">
        <v>703</v>
      </c>
      <c r="E439" t="s">
        <v>1262</v>
      </c>
      <c r="F439" t="s">
        <v>1263</v>
      </c>
      <c r="G439" s="1">
        <v>41541</v>
      </c>
      <c r="I439" t="s">
        <v>187</v>
      </c>
      <c r="J439" t="s">
        <v>188</v>
      </c>
      <c r="K439" t="s">
        <v>189</v>
      </c>
      <c r="Y439" t="str">
        <f>"2020-08-28T00:00:00"</f>
        <v>2020-08-28T00:00:00</v>
      </c>
      <c r="Z439" t="str">
        <f>"20"</f>
        <v>20</v>
      </c>
      <c r="AA439" t="s">
        <v>190</v>
      </c>
      <c r="AC439" t="s">
        <v>225</v>
      </c>
      <c r="AD439" t="s">
        <v>815</v>
      </c>
      <c r="AE439" t="s">
        <v>193</v>
      </c>
      <c r="AF439" t="s">
        <v>194</v>
      </c>
      <c r="AH439" t="s">
        <v>195</v>
      </c>
      <c r="AI439">
        <v>1</v>
      </c>
      <c r="AJ439" t="s">
        <v>196</v>
      </c>
      <c r="AK439" t="s">
        <v>194</v>
      </c>
      <c r="AL439" t="s">
        <v>197</v>
      </c>
      <c r="AM439" t="s">
        <v>811</v>
      </c>
      <c r="AR439" t="s">
        <v>214</v>
      </c>
      <c r="AU439" t="s">
        <v>197</v>
      </c>
      <c r="AZ439" t="s">
        <v>194</v>
      </c>
      <c r="BB439" t="s">
        <v>201</v>
      </c>
      <c r="BD439" t="s">
        <v>200</v>
      </c>
      <c r="BE439" t="s">
        <v>229</v>
      </c>
      <c r="BF439" t="s">
        <v>197</v>
      </c>
      <c r="BG439" t="s">
        <v>306</v>
      </c>
      <c r="BH439" t="s">
        <v>263</v>
      </c>
      <c r="BJ439" t="s">
        <v>205</v>
      </c>
      <c r="BK439" t="s">
        <v>206</v>
      </c>
      <c r="BL439" t="s">
        <v>194</v>
      </c>
      <c r="BO439" t="s">
        <v>200</v>
      </c>
      <c r="BP439" t="s">
        <v>200</v>
      </c>
      <c r="BQ439" s="3">
        <v>45566</v>
      </c>
      <c r="BR439" t="s">
        <v>232</v>
      </c>
      <c r="BT439" t="s">
        <v>197</v>
      </c>
      <c r="BV439" t="s">
        <v>233</v>
      </c>
      <c r="CA439" t="s">
        <v>194</v>
      </c>
      <c r="CB439" t="s">
        <v>214</v>
      </c>
      <c r="CF439" t="s">
        <v>215</v>
      </c>
      <c r="CH439" t="s">
        <v>214</v>
      </c>
      <c r="CI439" t="s">
        <v>214</v>
      </c>
      <c r="CJ439" t="s">
        <v>214</v>
      </c>
      <c r="CP439" t="s">
        <v>214</v>
      </c>
      <c r="CS439" t="s">
        <v>216</v>
      </c>
      <c r="CV439" t="s">
        <v>214</v>
      </c>
      <c r="CW439" t="s">
        <v>214</v>
      </c>
      <c r="CX439" t="s">
        <v>217</v>
      </c>
      <c r="CY439" t="s">
        <v>214</v>
      </c>
      <c r="DA439" t="s">
        <v>218</v>
      </c>
    </row>
    <row r="440" spans="1:105" x14ac:dyDescent="0.3">
      <c r="A440">
        <v>15641952</v>
      </c>
      <c r="B440">
        <v>6390922</v>
      </c>
      <c r="C440" t="str">
        <f>"080606650554"</f>
        <v>080606650554</v>
      </c>
      <c r="D440" t="s">
        <v>1123</v>
      </c>
      <c r="E440" t="s">
        <v>896</v>
      </c>
      <c r="F440" t="s">
        <v>365</v>
      </c>
      <c r="G440" s="1">
        <v>39605</v>
      </c>
      <c r="I440" t="s">
        <v>222</v>
      </c>
      <c r="J440" t="s">
        <v>188</v>
      </c>
      <c r="K440" t="s">
        <v>345</v>
      </c>
      <c r="Y440" t="str">
        <f>"2020-08-21T00:00:00"</f>
        <v>2020-08-21T00:00:00</v>
      </c>
      <c r="Z440" t="str">
        <f>"18"</f>
        <v>18</v>
      </c>
      <c r="AA440" t="s">
        <v>190</v>
      </c>
      <c r="AC440" t="s">
        <v>237</v>
      </c>
      <c r="AD440" t="s">
        <v>226</v>
      </c>
      <c r="AE440" t="s">
        <v>193</v>
      </c>
      <c r="AF440" t="s">
        <v>194</v>
      </c>
      <c r="AH440" t="s">
        <v>195</v>
      </c>
      <c r="AI440">
        <v>3</v>
      </c>
      <c r="AJ440" t="s">
        <v>196</v>
      </c>
      <c r="AK440" t="s">
        <v>194</v>
      </c>
      <c r="AL440" t="s">
        <v>197</v>
      </c>
      <c r="AM440" t="s">
        <v>198</v>
      </c>
      <c r="AR440" t="s">
        <v>194</v>
      </c>
      <c r="AS440" t="s">
        <v>199</v>
      </c>
      <c r="AU440" t="s">
        <v>197</v>
      </c>
      <c r="AZ440" t="s">
        <v>194</v>
      </c>
      <c r="BB440" t="s">
        <v>201</v>
      </c>
      <c r="BD440" t="s">
        <v>200</v>
      </c>
      <c r="BE440" t="s">
        <v>229</v>
      </c>
      <c r="BF440" t="s">
        <v>197</v>
      </c>
      <c r="BG440" t="s">
        <v>230</v>
      </c>
      <c r="BH440" t="s">
        <v>307</v>
      </c>
      <c r="BJ440" t="s">
        <v>205</v>
      </c>
      <c r="BK440" t="s">
        <v>206</v>
      </c>
      <c r="BL440" t="s">
        <v>194</v>
      </c>
      <c r="BO440" t="s">
        <v>216</v>
      </c>
      <c r="BP440" t="s">
        <v>216</v>
      </c>
      <c r="BR440" t="s">
        <v>207</v>
      </c>
      <c r="BS440" t="s">
        <v>208</v>
      </c>
      <c r="BT440" t="s">
        <v>197</v>
      </c>
      <c r="BV440" t="s">
        <v>233</v>
      </c>
      <c r="CA440" t="s">
        <v>194</v>
      </c>
      <c r="CB440" t="s">
        <v>214</v>
      </c>
      <c r="CF440" t="s">
        <v>215</v>
      </c>
      <c r="CH440" t="s">
        <v>214</v>
      </c>
      <c r="CI440" t="s">
        <v>214</v>
      </c>
      <c r="CJ440" t="s">
        <v>214</v>
      </c>
      <c r="CP440" t="s">
        <v>214</v>
      </c>
      <c r="CS440" t="s">
        <v>216</v>
      </c>
      <c r="CV440" t="s">
        <v>214</v>
      </c>
      <c r="CW440" t="s">
        <v>214</v>
      </c>
      <c r="CX440" t="s">
        <v>217</v>
      </c>
      <c r="CY440" t="s">
        <v>214</v>
      </c>
      <c r="DA440" t="s">
        <v>218</v>
      </c>
    </row>
    <row r="441" spans="1:105" x14ac:dyDescent="0.3">
      <c r="A441">
        <v>15643696</v>
      </c>
      <c r="B441">
        <v>9739043</v>
      </c>
      <c r="C441" t="str">
        <f>"130522604819"</f>
        <v>130522604819</v>
      </c>
      <c r="D441" t="s">
        <v>725</v>
      </c>
      <c r="E441" t="s">
        <v>1264</v>
      </c>
      <c r="F441" t="s">
        <v>336</v>
      </c>
      <c r="G441" s="1">
        <v>41416</v>
      </c>
      <c r="I441" t="s">
        <v>222</v>
      </c>
      <c r="J441" t="s">
        <v>188</v>
      </c>
      <c r="K441" t="s">
        <v>382</v>
      </c>
      <c r="Y441" t="str">
        <f>"2020-07-20T00:00:00"</f>
        <v>2020-07-20T00:00:00</v>
      </c>
      <c r="Z441" t="str">
        <f>"13"</f>
        <v>13</v>
      </c>
      <c r="AA441" t="s">
        <v>190</v>
      </c>
      <c r="AC441" t="s">
        <v>225</v>
      </c>
      <c r="AD441" t="s">
        <v>815</v>
      </c>
      <c r="AE441" t="s">
        <v>243</v>
      </c>
      <c r="AF441" t="s">
        <v>194</v>
      </c>
      <c r="AH441" t="s">
        <v>195</v>
      </c>
      <c r="AI441">
        <v>1</v>
      </c>
      <c r="AJ441" t="s">
        <v>196</v>
      </c>
      <c r="AK441" t="s">
        <v>194</v>
      </c>
      <c r="AL441" t="s">
        <v>197</v>
      </c>
      <c r="AM441" t="s">
        <v>198</v>
      </c>
      <c r="AR441" t="s">
        <v>194</v>
      </c>
      <c r="AS441" t="s">
        <v>199</v>
      </c>
      <c r="AU441" t="s">
        <v>197</v>
      </c>
      <c r="AZ441" t="s">
        <v>194</v>
      </c>
      <c r="BA441" t="s">
        <v>200</v>
      </c>
      <c r="BB441" t="s">
        <v>201</v>
      </c>
      <c r="BD441" t="s">
        <v>200</v>
      </c>
      <c r="BE441" t="s">
        <v>229</v>
      </c>
      <c r="BF441" t="s">
        <v>197</v>
      </c>
      <c r="BG441" t="s">
        <v>230</v>
      </c>
      <c r="BH441" t="s">
        <v>307</v>
      </c>
      <c r="BJ441" t="s">
        <v>205</v>
      </c>
      <c r="BK441" t="s">
        <v>206</v>
      </c>
      <c r="BL441" t="s">
        <v>194</v>
      </c>
      <c r="BO441" t="s">
        <v>216</v>
      </c>
      <c r="BP441" t="s">
        <v>216</v>
      </c>
      <c r="BQ441" t="s">
        <v>280</v>
      </c>
      <c r="BR441" t="s">
        <v>232</v>
      </c>
      <c r="BT441" t="s">
        <v>197</v>
      </c>
      <c r="BV441" t="s">
        <v>233</v>
      </c>
      <c r="CA441" t="s">
        <v>194</v>
      </c>
      <c r="CB441" t="s">
        <v>214</v>
      </c>
      <c r="CF441" t="s">
        <v>215</v>
      </c>
      <c r="CH441" t="s">
        <v>214</v>
      </c>
      <c r="CI441" t="s">
        <v>214</v>
      </c>
      <c r="CJ441" t="s">
        <v>214</v>
      </c>
      <c r="CP441" t="s">
        <v>214</v>
      </c>
      <c r="CS441" t="s">
        <v>216</v>
      </c>
      <c r="CV441" t="s">
        <v>214</v>
      </c>
      <c r="CW441" t="s">
        <v>214</v>
      </c>
      <c r="CX441" t="s">
        <v>217</v>
      </c>
      <c r="CY441" t="s">
        <v>214</v>
      </c>
      <c r="DA441" t="s">
        <v>218</v>
      </c>
    </row>
    <row r="442" spans="1:105" x14ac:dyDescent="0.3">
      <c r="A442">
        <v>16573093</v>
      </c>
      <c r="B442">
        <v>9027152</v>
      </c>
      <c r="C442" t="str">
        <f>"150620604210"</f>
        <v>150620604210</v>
      </c>
      <c r="D442" t="s">
        <v>1265</v>
      </c>
      <c r="E442" t="s">
        <v>1266</v>
      </c>
      <c r="F442" t="s">
        <v>1267</v>
      </c>
      <c r="G442" s="1">
        <v>42175</v>
      </c>
      <c r="I442" t="s">
        <v>222</v>
      </c>
      <c r="J442" t="s">
        <v>188</v>
      </c>
      <c r="K442" t="s">
        <v>189</v>
      </c>
      <c r="Y442" t="str">
        <f>"2020-08-28T00:00:00"</f>
        <v>2020-08-28T00:00:00</v>
      </c>
      <c r="Z442" t="str">
        <f>"20"</f>
        <v>20</v>
      </c>
      <c r="AA442" t="s">
        <v>190</v>
      </c>
      <c r="AC442" t="s">
        <v>225</v>
      </c>
      <c r="AD442" t="s">
        <v>899</v>
      </c>
      <c r="AE442" t="s">
        <v>413</v>
      </c>
      <c r="AF442" t="s">
        <v>194</v>
      </c>
      <c r="AH442" t="s">
        <v>195</v>
      </c>
      <c r="AI442">
        <v>2</v>
      </c>
      <c r="AJ442" t="s">
        <v>196</v>
      </c>
      <c r="AK442" t="s">
        <v>194</v>
      </c>
      <c r="AL442" t="s">
        <v>197</v>
      </c>
      <c r="AM442" t="s">
        <v>811</v>
      </c>
      <c r="AR442" t="s">
        <v>214</v>
      </c>
      <c r="AU442" t="s">
        <v>197</v>
      </c>
      <c r="AZ442" t="s">
        <v>194</v>
      </c>
      <c r="BB442" t="s">
        <v>201</v>
      </c>
      <c r="BE442" t="s">
        <v>900</v>
      </c>
      <c r="BF442" t="s">
        <v>197</v>
      </c>
      <c r="BJ442" t="s">
        <v>205</v>
      </c>
      <c r="BK442" t="s">
        <v>206</v>
      </c>
      <c r="BL442" t="s">
        <v>194</v>
      </c>
      <c r="BO442" t="s">
        <v>200</v>
      </c>
      <c r="BP442" t="s">
        <v>200</v>
      </c>
      <c r="BQ442" t="s">
        <v>280</v>
      </c>
      <c r="BR442" t="s">
        <v>232</v>
      </c>
      <c r="BT442" t="s">
        <v>197</v>
      </c>
      <c r="BV442" t="s">
        <v>233</v>
      </c>
      <c r="CA442" t="s">
        <v>194</v>
      </c>
      <c r="CB442" t="s">
        <v>214</v>
      </c>
      <c r="CF442" t="s">
        <v>215</v>
      </c>
      <c r="CH442" t="s">
        <v>214</v>
      </c>
      <c r="CI442" t="s">
        <v>214</v>
      </c>
      <c r="CJ442" t="s">
        <v>214</v>
      </c>
      <c r="CP442" t="s">
        <v>214</v>
      </c>
      <c r="CS442" t="s">
        <v>216</v>
      </c>
      <c r="CV442" t="s">
        <v>214</v>
      </c>
      <c r="CW442" t="s">
        <v>214</v>
      </c>
      <c r="CX442" t="s">
        <v>217</v>
      </c>
      <c r="CY442" t="s">
        <v>214</v>
      </c>
      <c r="DA442" t="s">
        <v>218</v>
      </c>
    </row>
    <row r="443" spans="1:105" x14ac:dyDescent="0.3">
      <c r="A443">
        <v>20317317</v>
      </c>
      <c r="B443">
        <v>6287581</v>
      </c>
      <c r="C443" t="str">
        <f>"150205500740"</f>
        <v>150205500740</v>
      </c>
      <c r="D443" t="s">
        <v>1268</v>
      </c>
      <c r="E443" t="s">
        <v>1269</v>
      </c>
      <c r="F443" t="s">
        <v>1270</v>
      </c>
      <c r="G443" s="1">
        <v>42040</v>
      </c>
      <c r="I443" t="s">
        <v>187</v>
      </c>
      <c r="J443" t="s">
        <v>188</v>
      </c>
      <c r="K443" t="s">
        <v>189</v>
      </c>
      <c r="Y443" t="str">
        <f>"2021-08-24T00:00:00"</f>
        <v>2021-08-24T00:00:00</v>
      </c>
      <c r="Z443" t="str">
        <f>"29"</f>
        <v>29</v>
      </c>
      <c r="AA443" t="s">
        <v>835</v>
      </c>
      <c r="AC443" t="s">
        <v>191</v>
      </c>
      <c r="AD443" t="s">
        <v>899</v>
      </c>
      <c r="AE443" t="s">
        <v>193</v>
      </c>
      <c r="AF443" t="s">
        <v>194</v>
      </c>
      <c r="AH443" t="s">
        <v>195</v>
      </c>
      <c r="AI443">
        <v>1</v>
      </c>
      <c r="AJ443" t="s">
        <v>196</v>
      </c>
      <c r="AK443" t="s">
        <v>194</v>
      </c>
      <c r="AL443" t="s">
        <v>197</v>
      </c>
      <c r="AM443" t="s">
        <v>198</v>
      </c>
      <c r="AR443" t="s">
        <v>194</v>
      </c>
      <c r="AS443" t="s">
        <v>199</v>
      </c>
      <c r="AU443" t="s">
        <v>197</v>
      </c>
      <c r="AZ443" t="s">
        <v>214</v>
      </c>
      <c r="BA443" t="s">
        <v>996</v>
      </c>
      <c r="BB443" t="s">
        <v>201</v>
      </c>
      <c r="BD443" t="s">
        <v>1172</v>
      </c>
      <c r="BE443" t="s">
        <v>900</v>
      </c>
      <c r="BF443" t="s">
        <v>197</v>
      </c>
      <c r="BJ443" t="s">
        <v>205</v>
      </c>
      <c r="BK443" t="s">
        <v>206</v>
      </c>
      <c r="BL443" t="s">
        <v>194</v>
      </c>
      <c r="BQ443" t="s">
        <v>280</v>
      </c>
      <c r="BR443" t="s">
        <v>232</v>
      </c>
      <c r="BT443" t="s">
        <v>197</v>
      </c>
      <c r="BV443" t="s">
        <v>233</v>
      </c>
      <c r="CA443" t="s">
        <v>194</v>
      </c>
      <c r="CB443" t="s">
        <v>214</v>
      </c>
      <c r="CF443" t="s">
        <v>215</v>
      </c>
      <c r="CH443" t="s">
        <v>214</v>
      </c>
      <c r="CI443" t="s">
        <v>214</v>
      </c>
      <c r="CJ443" t="s">
        <v>214</v>
      </c>
      <c r="CP443" t="s">
        <v>214</v>
      </c>
      <c r="CS443" t="s">
        <v>216</v>
      </c>
      <c r="CV443" t="s">
        <v>214</v>
      </c>
      <c r="CW443" t="s">
        <v>214</v>
      </c>
      <c r="CX443" t="s">
        <v>217</v>
      </c>
      <c r="CY443" t="s">
        <v>214</v>
      </c>
      <c r="DA443" t="s">
        <v>218</v>
      </c>
    </row>
    <row r="444" spans="1:105" x14ac:dyDescent="0.3">
      <c r="A444">
        <v>20317370</v>
      </c>
      <c r="B444">
        <v>900378</v>
      </c>
      <c r="C444" t="str">
        <f>"140407503583"</f>
        <v>140407503583</v>
      </c>
      <c r="D444" t="s">
        <v>1271</v>
      </c>
      <c r="E444" t="s">
        <v>349</v>
      </c>
      <c r="F444" t="s">
        <v>1122</v>
      </c>
      <c r="G444" s="1">
        <v>41736</v>
      </c>
      <c r="I444" t="s">
        <v>187</v>
      </c>
      <c r="J444" t="s">
        <v>188</v>
      </c>
      <c r="K444" t="s">
        <v>223</v>
      </c>
      <c r="L444" t="s">
        <v>214</v>
      </c>
      <c r="Q444" t="s">
        <v>214</v>
      </c>
      <c r="Y444" t="str">
        <f>"2021-08-24T00:00:00"</f>
        <v>2021-08-24T00:00:00</v>
      </c>
      <c r="Z444" t="str">
        <f>"29"</f>
        <v>29</v>
      </c>
      <c r="AA444" t="s">
        <v>224</v>
      </c>
      <c r="AC444" t="s">
        <v>191</v>
      </c>
      <c r="AD444" t="s">
        <v>899</v>
      </c>
      <c r="AE444" t="s">
        <v>193</v>
      </c>
      <c r="AF444" t="s">
        <v>194</v>
      </c>
      <c r="AH444" t="s">
        <v>195</v>
      </c>
      <c r="AI444">
        <v>1</v>
      </c>
      <c r="AJ444" t="s">
        <v>196</v>
      </c>
      <c r="AK444" t="s">
        <v>194</v>
      </c>
      <c r="AL444" t="s">
        <v>197</v>
      </c>
      <c r="AM444" t="s">
        <v>811</v>
      </c>
      <c r="AR444" t="s">
        <v>214</v>
      </c>
      <c r="AU444" t="s">
        <v>197</v>
      </c>
      <c r="AZ444" t="s">
        <v>214</v>
      </c>
      <c r="BA444" t="s">
        <v>996</v>
      </c>
      <c r="BB444" t="s">
        <v>201</v>
      </c>
      <c r="BD444" t="s">
        <v>1172</v>
      </c>
      <c r="BE444" t="s">
        <v>900</v>
      </c>
      <c r="BF444" t="s">
        <v>197</v>
      </c>
      <c r="BJ444" t="s">
        <v>205</v>
      </c>
      <c r="BK444" t="s">
        <v>206</v>
      </c>
      <c r="BL444" t="s">
        <v>194</v>
      </c>
      <c r="BQ444" t="s">
        <v>280</v>
      </c>
      <c r="BR444" t="s">
        <v>232</v>
      </c>
      <c r="BT444" t="s">
        <v>197</v>
      </c>
      <c r="BV444" t="s">
        <v>233</v>
      </c>
      <c r="CA444" t="s">
        <v>194</v>
      </c>
      <c r="CB444" t="s">
        <v>214</v>
      </c>
      <c r="CF444" t="s">
        <v>215</v>
      </c>
      <c r="CH444" t="s">
        <v>214</v>
      </c>
      <c r="CI444" t="s">
        <v>214</v>
      </c>
      <c r="CJ444" t="s">
        <v>214</v>
      </c>
      <c r="CP444" t="s">
        <v>214</v>
      </c>
      <c r="CS444" t="s">
        <v>216</v>
      </c>
      <c r="CV444" t="s">
        <v>214</v>
      </c>
      <c r="CW444" t="s">
        <v>214</v>
      </c>
      <c r="CX444" t="s">
        <v>217</v>
      </c>
      <c r="CY444" t="s">
        <v>214</v>
      </c>
      <c r="DA444" t="s">
        <v>218</v>
      </c>
    </row>
    <row r="445" spans="1:105" x14ac:dyDescent="0.3">
      <c r="A445">
        <v>15646423</v>
      </c>
      <c r="B445">
        <v>9739749</v>
      </c>
      <c r="C445" t="str">
        <f>"130318500157"</f>
        <v>130318500157</v>
      </c>
      <c r="D445" t="s">
        <v>673</v>
      </c>
      <c r="E445" t="s">
        <v>1272</v>
      </c>
      <c r="F445" t="s">
        <v>675</v>
      </c>
      <c r="G445" s="1">
        <v>41351</v>
      </c>
      <c r="I445" t="s">
        <v>187</v>
      </c>
      <c r="J445" t="s">
        <v>188</v>
      </c>
      <c r="K445" t="s">
        <v>189</v>
      </c>
      <c r="Y445" t="str">
        <f>"2020-07-20T00:00:00"</f>
        <v>2020-07-20T00:00:00</v>
      </c>
      <c r="Z445" t="str">
        <f>"13"</f>
        <v>13</v>
      </c>
      <c r="AA445" t="s">
        <v>190</v>
      </c>
      <c r="AC445" t="s">
        <v>225</v>
      </c>
      <c r="AD445" t="s">
        <v>815</v>
      </c>
      <c r="AE445" t="s">
        <v>193</v>
      </c>
      <c r="AF445" t="s">
        <v>194</v>
      </c>
      <c r="AH445" t="s">
        <v>195</v>
      </c>
      <c r="AI445">
        <v>1</v>
      </c>
      <c r="AJ445" t="s">
        <v>196</v>
      </c>
      <c r="AK445" t="s">
        <v>194</v>
      </c>
      <c r="AL445" t="s">
        <v>197</v>
      </c>
      <c r="AM445" t="s">
        <v>198</v>
      </c>
      <c r="AR445" t="s">
        <v>194</v>
      </c>
      <c r="AS445" t="s">
        <v>199</v>
      </c>
      <c r="AU445" t="s">
        <v>197</v>
      </c>
      <c r="AZ445" t="s">
        <v>194</v>
      </c>
      <c r="BA445" t="s">
        <v>200</v>
      </c>
      <c r="BB445" t="s">
        <v>201</v>
      </c>
      <c r="BD445" t="s">
        <v>200</v>
      </c>
      <c r="BE445" t="s">
        <v>229</v>
      </c>
      <c r="BF445" t="s">
        <v>197</v>
      </c>
      <c r="BG445" t="s">
        <v>230</v>
      </c>
      <c r="BH445" t="s">
        <v>307</v>
      </c>
      <c r="BJ445" t="s">
        <v>205</v>
      </c>
      <c r="BK445" t="s">
        <v>206</v>
      </c>
      <c r="BL445" t="s">
        <v>194</v>
      </c>
      <c r="BO445" t="s">
        <v>200</v>
      </c>
      <c r="BP445" t="s">
        <v>200</v>
      </c>
      <c r="BQ445" t="s">
        <v>280</v>
      </c>
      <c r="BR445" t="s">
        <v>232</v>
      </c>
      <c r="BT445" t="s">
        <v>197</v>
      </c>
      <c r="BV445" t="s">
        <v>415</v>
      </c>
      <c r="BW445" t="s">
        <v>416</v>
      </c>
      <c r="BX445" t="s">
        <v>539</v>
      </c>
      <c r="BY445" t="s">
        <v>534</v>
      </c>
      <c r="BZ445" t="s">
        <v>616</v>
      </c>
      <c r="CA445" t="s">
        <v>194</v>
      </c>
      <c r="CB445" t="s">
        <v>214</v>
      </c>
      <c r="CF445" t="s">
        <v>215</v>
      </c>
      <c r="CH445" t="s">
        <v>214</v>
      </c>
      <c r="CI445" t="s">
        <v>214</v>
      </c>
      <c r="CJ445" t="s">
        <v>214</v>
      </c>
      <c r="CP445" t="s">
        <v>214</v>
      </c>
      <c r="CS445" t="s">
        <v>216</v>
      </c>
      <c r="CV445" t="s">
        <v>214</v>
      </c>
      <c r="CW445" t="s">
        <v>214</v>
      </c>
      <c r="CX445" t="s">
        <v>217</v>
      </c>
      <c r="CY445" t="s">
        <v>214</v>
      </c>
      <c r="DA445" t="s">
        <v>218</v>
      </c>
    </row>
    <row r="446" spans="1:105" x14ac:dyDescent="0.3">
      <c r="A446">
        <v>20317636</v>
      </c>
      <c r="B446">
        <v>9049222</v>
      </c>
      <c r="C446" t="str">
        <f>"150130502630"</f>
        <v>150130502630</v>
      </c>
      <c r="D446" t="s">
        <v>276</v>
      </c>
      <c r="E446" t="s">
        <v>1273</v>
      </c>
      <c r="F446" t="s">
        <v>278</v>
      </c>
      <c r="G446" s="1">
        <v>42034</v>
      </c>
      <c r="I446" t="s">
        <v>187</v>
      </c>
      <c r="J446" t="s">
        <v>188</v>
      </c>
      <c r="K446" t="s">
        <v>189</v>
      </c>
      <c r="Y446" t="str">
        <f>"2021-08-24T00:00:00"</f>
        <v>2021-08-24T00:00:00</v>
      </c>
      <c r="Z446" t="str">
        <f>"29"</f>
        <v>29</v>
      </c>
      <c r="AA446" t="s">
        <v>835</v>
      </c>
      <c r="AC446" t="s">
        <v>225</v>
      </c>
      <c r="AD446" t="s">
        <v>899</v>
      </c>
      <c r="AE446" t="s">
        <v>243</v>
      </c>
      <c r="AF446" t="s">
        <v>194</v>
      </c>
      <c r="AH446" t="s">
        <v>195</v>
      </c>
      <c r="AI446">
        <v>1</v>
      </c>
      <c r="AJ446" t="s">
        <v>196</v>
      </c>
      <c r="AK446" t="s">
        <v>194</v>
      </c>
      <c r="AL446" t="s">
        <v>197</v>
      </c>
      <c r="AM446" t="s">
        <v>198</v>
      </c>
      <c r="AR446" t="s">
        <v>194</v>
      </c>
      <c r="AS446" t="s">
        <v>199</v>
      </c>
      <c r="AU446" t="s">
        <v>197</v>
      </c>
      <c r="AZ446" t="s">
        <v>214</v>
      </c>
      <c r="BA446" t="s">
        <v>996</v>
      </c>
      <c r="BB446" t="s">
        <v>201</v>
      </c>
      <c r="BD446" t="s">
        <v>1172</v>
      </c>
      <c r="BE446" t="s">
        <v>900</v>
      </c>
      <c r="BF446" t="s">
        <v>197</v>
      </c>
      <c r="BJ446" t="s">
        <v>205</v>
      </c>
      <c r="BK446" t="s">
        <v>206</v>
      </c>
      <c r="BL446" t="s">
        <v>194</v>
      </c>
      <c r="BQ446" t="s">
        <v>280</v>
      </c>
      <c r="BR446" t="s">
        <v>232</v>
      </c>
      <c r="BT446" t="s">
        <v>197</v>
      </c>
      <c r="BV446" t="s">
        <v>233</v>
      </c>
      <c r="CA446" t="s">
        <v>194</v>
      </c>
      <c r="CB446" t="s">
        <v>214</v>
      </c>
      <c r="CF446" t="s">
        <v>215</v>
      </c>
      <c r="CH446" t="s">
        <v>214</v>
      </c>
      <c r="CI446" t="s">
        <v>214</v>
      </c>
      <c r="CJ446" t="s">
        <v>214</v>
      </c>
      <c r="CP446" t="s">
        <v>214</v>
      </c>
      <c r="CS446" t="s">
        <v>216</v>
      </c>
      <c r="CV446" t="s">
        <v>214</v>
      </c>
      <c r="CW446" t="s">
        <v>214</v>
      </c>
      <c r="CX446" t="s">
        <v>217</v>
      </c>
      <c r="CY446" t="s">
        <v>214</v>
      </c>
      <c r="DA446" t="s">
        <v>218</v>
      </c>
    </row>
    <row r="447" spans="1:105" x14ac:dyDescent="0.3">
      <c r="A447">
        <v>20318035</v>
      </c>
      <c r="B447">
        <v>6508370</v>
      </c>
      <c r="C447" t="str">
        <f>"150719501476"</f>
        <v>150719501476</v>
      </c>
      <c r="D447" t="s">
        <v>1274</v>
      </c>
      <c r="E447" t="s">
        <v>1243</v>
      </c>
      <c r="F447" t="s">
        <v>1275</v>
      </c>
      <c r="G447" s="1">
        <v>42204</v>
      </c>
      <c r="I447" t="s">
        <v>187</v>
      </c>
      <c r="J447" t="s">
        <v>188</v>
      </c>
      <c r="K447" t="s">
        <v>189</v>
      </c>
      <c r="Y447" t="str">
        <f>"2021-08-24T00:00:00"</f>
        <v>2021-08-24T00:00:00</v>
      </c>
      <c r="Z447" t="str">
        <f>"29"</f>
        <v>29</v>
      </c>
      <c r="AA447" t="s">
        <v>224</v>
      </c>
      <c r="AC447" t="s">
        <v>191</v>
      </c>
      <c r="AD447" t="s">
        <v>899</v>
      </c>
      <c r="AE447" t="s">
        <v>243</v>
      </c>
      <c r="AF447" t="s">
        <v>194</v>
      </c>
      <c r="AH447" t="s">
        <v>195</v>
      </c>
      <c r="AI447">
        <v>1</v>
      </c>
      <c r="AJ447" t="s">
        <v>196</v>
      </c>
      <c r="AK447" t="s">
        <v>194</v>
      </c>
      <c r="AL447" t="s">
        <v>197</v>
      </c>
      <c r="AM447" t="s">
        <v>198</v>
      </c>
      <c r="AR447" t="s">
        <v>194</v>
      </c>
      <c r="AS447" t="s">
        <v>199</v>
      </c>
      <c r="AU447" t="s">
        <v>197</v>
      </c>
      <c r="AZ447" t="s">
        <v>194</v>
      </c>
      <c r="BB447" t="s">
        <v>201</v>
      </c>
      <c r="BD447" t="s">
        <v>1172</v>
      </c>
      <c r="BE447" t="s">
        <v>900</v>
      </c>
      <c r="BF447" t="s">
        <v>197</v>
      </c>
      <c r="BJ447" t="s">
        <v>205</v>
      </c>
      <c r="BK447" t="s">
        <v>206</v>
      </c>
      <c r="BL447" t="s">
        <v>194</v>
      </c>
      <c r="BQ447" t="s">
        <v>280</v>
      </c>
      <c r="BR447" t="s">
        <v>232</v>
      </c>
      <c r="BT447" t="s">
        <v>197</v>
      </c>
      <c r="BV447" t="s">
        <v>233</v>
      </c>
      <c r="CA447" t="s">
        <v>194</v>
      </c>
      <c r="CB447" t="s">
        <v>214</v>
      </c>
      <c r="CF447" t="s">
        <v>215</v>
      </c>
      <c r="CH447" t="s">
        <v>214</v>
      </c>
      <c r="CI447" t="s">
        <v>214</v>
      </c>
      <c r="CJ447" t="s">
        <v>214</v>
      </c>
      <c r="CP447" t="s">
        <v>214</v>
      </c>
      <c r="CS447" t="s">
        <v>216</v>
      </c>
      <c r="CV447" t="s">
        <v>214</v>
      </c>
      <c r="CW447" t="s">
        <v>214</v>
      </c>
      <c r="CX447" t="s">
        <v>217</v>
      </c>
      <c r="CY447" t="s">
        <v>214</v>
      </c>
      <c r="DA447" t="s">
        <v>218</v>
      </c>
    </row>
    <row r="448" spans="1:105" x14ac:dyDescent="0.3">
      <c r="A448">
        <v>15663181</v>
      </c>
      <c r="B448">
        <v>9742943</v>
      </c>
      <c r="C448" t="str">
        <f>"130919605568"</f>
        <v>130919605568</v>
      </c>
      <c r="D448" t="s">
        <v>1276</v>
      </c>
      <c r="E448" t="s">
        <v>581</v>
      </c>
      <c r="F448" t="s">
        <v>399</v>
      </c>
      <c r="G448" s="1">
        <v>41536</v>
      </c>
      <c r="I448" t="s">
        <v>222</v>
      </c>
      <c r="J448" t="s">
        <v>188</v>
      </c>
      <c r="K448" t="s">
        <v>223</v>
      </c>
      <c r="Y448" t="str">
        <f>"2020-08-11T00:00:00"</f>
        <v>2020-08-11T00:00:00</v>
      </c>
      <c r="Z448" t="str">
        <f>"17"</f>
        <v>17</v>
      </c>
      <c r="AA448" t="s">
        <v>190</v>
      </c>
      <c r="AC448" t="s">
        <v>225</v>
      </c>
      <c r="AD448" t="s">
        <v>815</v>
      </c>
      <c r="AE448" t="s">
        <v>227</v>
      </c>
      <c r="AF448" t="s">
        <v>194</v>
      </c>
      <c r="AH448" t="s">
        <v>195</v>
      </c>
      <c r="AI448">
        <v>1</v>
      </c>
      <c r="AJ448" t="s">
        <v>196</v>
      </c>
      <c r="AK448" t="s">
        <v>194</v>
      </c>
      <c r="AL448" t="s">
        <v>197</v>
      </c>
      <c r="AM448" t="s">
        <v>198</v>
      </c>
      <c r="AR448" t="s">
        <v>194</v>
      </c>
      <c r="AS448" t="s">
        <v>199</v>
      </c>
      <c r="AU448" t="s">
        <v>197</v>
      </c>
      <c r="AZ448" t="s">
        <v>194</v>
      </c>
      <c r="BA448" t="s">
        <v>200</v>
      </c>
      <c r="BB448" t="s">
        <v>201</v>
      </c>
      <c r="BD448" t="s">
        <v>200</v>
      </c>
      <c r="BE448" t="s">
        <v>229</v>
      </c>
      <c r="BF448" t="s">
        <v>197</v>
      </c>
      <c r="BG448" t="s">
        <v>230</v>
      </c>
      <c r="BH448" t="s">
        <v>231</v>
      </c>
      <c r="BJ448" t="s">
        <v>205</v>
      </c>
      <c r="BK448" t="s">
        <v>206</v>
      </c>
      <c r="BL448" t="s">
        <v>194</v>
      </c>
      <c r="BO448" t="s">
        <v>200</v>
      </c>
      <c r="BP448" t="s">
        <v>200</v>
      </c>
      <c r="BQ448" t="s">
        <v>280</v>
      </c>
      <c r="BR448" t="s">
        <v>232</v>
      </c>
      <c r="BT448" t="s">
        <v>197</v>
      </c>
      <c r="BV448" t="s">
        <v>471</v>
      </c>
      <c r="BW448" t="s">
        <v>416</v>
      </c>
      <c r="BX448" t="s">
        <v>539</v>
      </c>
      <c r="BY448" t="s">
        <v>534</v>
      </c>
      <c r="BZ448" t="s">
        <v>845</v>
      </c>
      <c r="CA448" t="s">
        <v>194</v>
      </c>
      <c r="CB448" t="s">
        <v>214</v>
      </c>
      <c r="CF448" t="s">
        <v>215</v>
      </c>
      <c r="CH448" t="s">
        <v>214</v>
      </c>
      <c r="CI448" t="s">
        <v>214</v>
      </c>
      <c r="CJ448" t="s">
        <v>214</v>
      </c>
      <c r="CP448" t="s">
        <v>214</v>
      </c>
      <c r="CS448" t="s">
        <v>216</v>
      </c>
      <c r="CV448" t="s">
        <v>214</v>
      </c>
      <c r="CW448" t="s">
        <v>214</v>
      </c>
      <c r="CX448" t="s">
        <v>217</v>
      </c>
      <c r="CY448" t="s">
        <v>214</v>
      </c>
      <c r="DA448" t="s">
        <v>218</v>
      </c>
    </row>
    <row r="449" spans="1:172" x14ac:dyDescent="0.3">
      <c r="A449">
        <v>20318132</v>
      </c>
      <c r="B449">
        <v>6501462</v>
      </c>
      <c r="C449" t="str">
        <f>"141211601253"</f>
        <v>141211601253</v>
      </c>
      <c r="D449" t="s">
        <v>1277</v>
      </c>
      <c r="E449" t="s">
        <v>1249</v>
      </c>
      <c r="F449" t="s">
        <v>1278</v>
      </c>
      <c r="G449" s="1">
        <v>41984</v>
      </c>
      <c r="I449" t="s">
        <v>222</v>
      </c>
      <c r="J449" t="s">
        <v>188</v>
      </c>
      <c r="K449" t="s">
        <v>189</v>
      </c>
      <c r="L449" t="s">
        <v>214</v>
      </c>
      <c r="Q449" t="s">
        <v>214</v>
      </c>
      <c r="Y449" t="str">
        <f>"2021-08-24T00:00:00"</f>
        <v>2021-08-24T00:00:00</v>
      </c>
      <c r="Z449" t="str">
        <f>"29"</f>
        <v>29</v>
      </c>
      <c r="AA449" t="s">
        <v>224</v>
      </c>
      <c r="AC449" t="s">
        <v>237</v>
      </c>
      <c r="AD449" t="s">
        <v>899</v>
      </c>
      <c r="AE449" t="s">
        <v>243</v>
      </c>
      <c r="AF449" t="s">
        <v>194</v>
      </c>
      <c r="AH449" t="s">
        <v>195</v>
      </c>
      <c r="AI449">
        <v>1</v>
      </c>
      <c r="AJ449" t="s">
        <v>196</v>
      </c>
      <c r="AK449" t="s">
        <v>194</v>
      </c>
      <c r="AL449" t="s">
        <v>197</v>
      </c>
      <c r="AM449" t="s">
        <v>198</v>
      </c>
      <c r="AR449" t="s">
        <v>194</v>
      </c>
      <c r="AS449" t="s">
        <v>199</v>
      </c>
      <c r="AU449" t="s">
        <v>197</v>
      </c>
      <c r="AZ449" t="s">
        <v>214</v>
      </c>
      <c r="BA449" t="s">
        <v>996</v>
      </c>
      <c r="BB449" t="s">
        <v>201</v>
      </c>
      <c r="BD449" t="s">
        <v>1172</v>
      </c>
      <c r="BE449" t="s">
        <v>900</v>
      </c>
      <c r="BF449" t="s">
        <v>197</v>
      </c>
      <c r="BJ449" t="s">
        <v>205</v>
      </c>
      <c r="BK449" t="s">
        <v>206</v>
      </c>
      <c r="BL449" t="s">
        <v>194</v>
      </c>
      <c r="BQ449" t="s">
        <v>280</v>
      </c>
      <c r="BR449" t="s">
        <v>232</v>
      </c>
      <c r="BT449" t="s">
        <v>197</v>
      </c>
      <c r="BV449" t="s">
        <v>233</v>
      </c>
      <c r="CA449" t="s">
        <v>194</v>
      </c>
      <c r="CB449" t="s">
        <v>214</v>
      </c>
      <c r="CF449" t="s">
        <v>215</v>
      </c>
      <c r="CH449" t="s">
        <v>214</v>
      </c>
      <c r="CI449" t="s">
        <v>214</v>
      </c>
      <c r="CJ449" t="s">
        <v>214</v>
      </c>
      <c r="CP449" t="s">
        <v>214</v>
      </c>
      <c r="CS449" t="s">
        <v>216</v>
      </c>
      <c r="CV449" t="s">
        <v>214</v>
      </c>
      <c r="CW449" t="s">
        <v>214</v>
      </c>
      <c r="CX449" t="s">
        <v>217</v>
      </c>
      <c r="CY449" t="s">
        <v>214</v>
      </c>
      <c r="DA449" t="s">
        <v>218</v>
      </c>
    </row>
    <row r="450" spans="1:172" x14ac:dyDescent="0.3">
      <c r="A450">
        <v>17136897</v>
      </c>
      <c r="B450">
        <v>614520</v>
      </c>
      <c r="C450" t="str">
        <f>"120513601477"</f>
        <v>120513601477</v>
      </c>
      <c r="D450" t="s">
        <v>1279</v>
      </c>
      <c r="E450" t="s">
        <v>1048</v>
      </c>
      <c r="F450" t="s">
        <v>1280</v>
      </c>
      <c r="G450" s="1">
        <v>41042</v>
      </c>
      <c r="I450" t="s">
        <v>222</v>
      </c>
      <c r="J450" t="s">
        <v>188</v>
      </c>
      <c r="K450" t="s">
        <v>189</v>
      </c>
      <c r="Y450" t="str">
        <f>"2020-10-09T00:00:00"</f>
        <v>2020-10-09T00:00:00</v>
      </c>
      <c r="Z450" t="str">
        <f>"33"</f>
        <v>33</v>
      </c>
      <c r="AA450" t="s">
        <v>190</v>
      </c>
      <c r="AC450" t="s">
        <v>191</v>
      </c>
      <c r="AD450" t="s">
        <v>285</v>
      </c>
      <c r="AE450" t="s">
        <v>227</v>
      </c>
      <c r="AF450" t="s">
        <v>194</v>
      </c>
      <c r="AH450" t="s">
        <v>195</v>
      </c>
      <c r="AI450">
        <v>2</v>
      </c>
      <c r="AJ450" t="s">
        <v>196</v>
      </c>
      <c r="AK450" t="s">
        <v>194</v>
      </c>
      <c r="AL450" t="s">
        <v>197</v>
      </c>
      <c r="AM450" t="s">
        <v>198</v>
      </c>
      <c r="AR450" t="s">
        <v>194</v>
      </c>
      <c r="AS450" t="s">
        <v>199</v>
      </c>
      <c r="AU450" t="s">
        <v>197</v>
      </c>
      <c r="AZ450" t="s">
        <v>194</v>
      </c>
      <c r="BB450" t="s">
        <v>201</v>
      </c>
      <c r="BE450" t="s">
        <v>229</v>
      </c>
      <c r="BF450" t="s">
        <v>197</v>
      </c>
      <c r="BG450" t="s">
        <v>230</v>
      </c>
      <c r="BH450" t="s">
        <v>307</v>
      </c>
      <c r="BJ450" t="s">
        <v>205</v>
      </c>
      <c r="BK450" t="s">
        <v>206</v>
      </c>
      <c r="BL450" t="s">
        <v>194</v>
      </c>
      <c r="BO450" t="s">
        <v>216</v>
      </c>
      <c r="BP450" t="s">
        <v>216</v>
      </c>
      <c r="BQ450" t="s">
        <v>731</v>
      </c>
      <c r="BR450" t="s">
        <v>232</v>
      </c>
      <c r="BT450" t="s">
        <v>197</v>
      </c>
      <c r="BV450" t="s">
        <v>233</v>
      </c>
      <c r="CA450" t="s">
        <v>194</v>
      </c>
      <c r="CB450" t="s">
        <v>214</v>
      </c>
      <c r="CF450" t="s">
        <v>215</v>
      </c>
      <c r="CH450" t="s">
        <v>214</v>
      </c>
      <c r="CI450" t="s">
        <v>214</v>
      </c>
      <c r="CJ450" t="s">
        <v>214</v>
      </c>
      <c r="CP450" t="s">
        <v>214</v>
      </c>
      <c r="CS450" t="s">
        <v>216</v>
      </c>
      <c r="CV450" t="s">
        <v>214</v>
      </c>
      <c r="CW450" t="s">
        <v>214</v>
      </c>
      <c r="CX450" t="s">
        <v>217</v>
      </c>
      <c r="CY450" t="s">
        <v>214</v>
      </c>
      <c r="DA450" t="s">
        <v>218</v>
      </c>
    </row>
    <row r="451" spans="1:172" x14ac:dyDescent="0.3">
      <c r="A451">
        <v>17136899</v>
      </c>
      <c r="B451">
        <v>609768</v>
      </c>
      <c r="C451" t="str">
        <f>"101128603102"</f>
        <v>101128603102</v>
      </c>
      <c r="D451" t="s">
        <v>1279</v>
      </c>
      <c r="E451" t="s">
        <v>1006</v>
      </c>
      <c r="F451" t="s">
        <v>1267</v>
      </c>
      <c r="G451" s="1">
        <v>40510</v>
      </c>
      <c r="I451" t="s">
        <v>222</v>
      </c>
      <c r="J451" t="s">
        <v>188</v>
      </c>
      <c r="K451" t="s">
        <v>189</v>
      </c>
      <c r="Y451" t="str">
        <f>"2020-10-09T00:00:00"</f>
        <v>2020-10-09T00:00:00</v>
      </c>
      <c r="Z451" t="str">
        <f>"33"</f>
        <v>33</v>
      </c>
      <c r="AA451" t="s">
        <v>190</v>
      </c>
      <c r="AC451" t="s">
        <v>225</v>
      </c>
      <c r="AD451" t="s">
        <v>261</v>
      </c>
      <c r="AE451" t="s">
        <v>227</v>
      </c>
      <c r="AF451" t="s">
        <v>194</v>
      </c>
      <c r="AH451" t="s">
        <v>195</v>
      </c>
      <c r="AI451">
        <v>2</v>
      </c>
      <c r="AJ451" t="s">
        <v>196</v>
      </c>
      <c r="AK451" t="s">
        <v>194</v>
      </c>
      <c r="AL451" t="s">
        <v>197</v>
      </c>
      <c r="AM451" t="s">
        <v>198</v>
      </c>
      <c r="AR451" t="s">
        <v>194</v>
      </c>
      <c r="AS451" t="s">
        <v>199</v>
      </c>
      <c r="AU451" t="s">
        <v>197</v>
      </c>
      <c r="AZ451" t="s">
        <v>194</v>
      </c>
      <c r="BB451" t="s">
        <v>201</v>
      </c>
      <c r="BE451" t="s">
        <v>229</v>
      </c>
      <c r="BF451" t="s">
        <v>197</v>
      </c>
      <c r="BG451" t="s">
        <v>230</v>
      </c>
      <c r="BH451" t="s">
        <v>307</v>
      </c>
      <c r="BJ451" t="s">
        <v>205</v>
      </c>
      <c r="BK451" t="s">
        <v>206</v>
      </c>
      <c r="BL451" t="s">
        <v>194</v>
      </c>
      <c r="BO451" t="s">
        <v>216</v>
      </c>
      <c r="BP451" t="s">
        <v>216</v>
      </c>
      <c r="BQ451" t="s">
        <v>731</v>
      </c>
      <c r="BR451" t="s">
        <v>232</v>
      </c>
      <c r="BT451" t="s">
        <v>197</v>
      </c>
      <c r="BV451" t="s">
        <v>233</v>
      </c>
      <c r="CA451" t="s">
        <v>194</v>
      </c>
      <c r="CB451" t="s">
        <v>214</v>
      </c>
      <c r="CF451" t="s">
        <v>215</v>
      </c>
      <c r="CH451" t="s">
        <v>214</v>
      </c>
      <c r="CI451" t="s">
        <v>214</v>
      </c>
      <c r="CJ451" t="s">
        <v>214</v>
      </c>
      <c r="CP451" t="s">
        <v>214</v>
      </c>
      <c r="CS451" t="s">
        <v>216</v>
      </c>
      <c r="CV451" t="s">
        <v>214</v>
      </c>
      <c r="CW451" t="s">
        <v>214</v>
      </c>
      <c r="CX451" t="s">
        <v>217</v>
      </c>
      <c r="CY451" t="s">
        <v>214</v>
      </c>
      <c r="DA451" t="s">
        <v>218</v>
      </c>
    </row>
    <row r="452" spans="1:172" x14ac:dyDescent="0.3">
      <c r="A452">
        <v>17185788</v>
      </c>
      <c r="B452">
        <v>10235641</v>
      </c>
      <c r="C452" t="str">
        <f>"151028501234"</f>
        <v>151028501234</v>
      </c>
      <c r="D452" t="s">
        <v>1281</v>
      </c>
      <c r="E452" t="s">
        <v>1282</v>
      </c>
      <c r="F452" t="s">
        <v>989</v>
      </c>
      <c r="G452" s="1">
        <v>42305</v>
      </c>
      <c r="I452" t="s">
        <v>187</v>
      </c>
      <c r="J452" t="s">
        <v>188</v>
      </c>
      <c r="K452" t="s">
        <v>189</v>
      </c>
      <c r="Y452" t="str">
        <f>"2020-08-28T00:00:00"</f>
        <v>2020-08-28T00:00:00</v>
      </c>
      <c r="Z452" t="str">
        <f>"23"</f>
        <v>23</v>
      </c>
      <c r="AA452" t="s">
        <v>224</v>
      </c>
      <c r="AC452" t="s">
        <v>225</v>
      </c>
      <c r="AD452" t="s">
        <v>899</v>
      </c>
      <c r="AE452" t="s">
        <v>227</v>
      </c>
      <c r="AF452" t="s">
        <v>194</v>
      </c>
      <c r="AH452" t="s">
        <v>195</v>
      </c>
      <c r="AI452">
        <v>2</v>
      </c>
      <c r="AJ452" t="s">
        <v>196</v>
      </c>
      <c r="AK452" t="s">
        <v>194</v>
      </c>
      <c r="AL452" t="s">
        <v>197</v>
      </c>
      <c r="AM452" t="s">
        <v>198</v>
      </c>
      <c r="AR452" t="s">
        <v>194</v>
      </c>
      <c r="AS452" t="s">
        <v>199</v>
      </c>
      <c r="AU452" t="s">
        <v>197</v>
      </c>
      <c r="AZ452" t="s">
        <v>194</v>
      </c>
      <c r="BB452" t="s">
        <v>201</v>
      </c>
      <c r="BE452" t="s">
        <v>900</v>
      </c>
      <c r="BF452" t="s">
        <v>197</v>
      </c>
      <c r="BJ452" t="s">
        <v>205</v>
      </c>
      <c r="BK452" t="s">
        <v>206</v>
      </c>
      <c r="BL452" t="s">
        <v>194</v>
      </c>
      <c r="BO452" t="s">
        <v>200</v>
      </c>
      <c r="BP452" t="s">
        <v>200</v>
      </c>
      <c r="BQ452" t="s">
        <v>280</v>
      </c>
      <c r="BR452" t="s">
        <v>232</v>
      </c>
      <c r="BT452" t="s">
        <v>197</v>
      </c>
      <c r="BV452" t="s">
        <v>233</v>
      </c>
      <c r="CA452" t="s">
        <v>194</v>
      </c>
      <c r="CB452" t="s">
        <v>214</v>
      </c>
      <c r="CF452" t="s">
        <v>215</v>
      </c>
      <c r="CH452" t="s">
        <v>214</v>
      </c>
      <c r="CI452" t="s">
        <v>214</v>
      </c>
      <c r="CJ452" t="s">
        <v>214</v>
      </c>
      <c r="CP452" t="s">
        <v>214</v>
      </c>
      <c r="CS452" t="s">
        <v>216</v>
      </c>
      <c r="CV452" t="s">
        <v>214</v>
      </c>
      <c r="CW452" t="s">
        <v>214</v>
      </c>
      <c r="CX452" t="s">
        <v>217</v>
      </c>
      <c r="CY452" t="s">
        <v>214</v>
      </c>
      <c r="DA452" t="s">
        <v>218</v>
      </c>
    </row>
    <row r="453" spans="1:172" x14ac:dyDescent="0.3">
      <c r="A453">
        <v>18181849</v>
      </c>
      <c r="B453">
        <v>10770542</v>
      </c>
      <c r="C453" t="str">
        <f>"140625502570"</f>
        <v>140625502570</v>
      </c>
      <c r="D453" t="s">
        <v>1283</v>
      </c>
      <c r="E453" t="s">
        <v>1202</v>
      </c>
      <c r="F453" t="s">
        <v>1284</v>
      </c>
      <c r="G453" s="1">
        <v>41815</v>
      </c>
      <c r="I453" t="s">
        <v>187</v>
      </c>
      <c r="J453" t="s">
        <v>188</v>
      </c>
      <c r="K453" t="s">
        <v>189</v>
      </c>
      <c r="Y453" t="str">
        <f>"2020-11-16T00:00:00"</f>
        <v>2020-11-16T00:00:00</v>
      </c>
      <c r="Z453" t="str">
        <f>"36"</f>
        <v>36</v>
      </c>
      <c r="AA453" t="s">
        <v>190</v>
      </c>
      <c r="AC453" t="s">
        <v>225</v>
      </c>
      <c r="AD453" t="s">
        <v>815</v>
      </c>
      <c r="AE453" t="s">
        <v>243</v>
      </c>
      <c r="AF453" t="s">
        <v>194</v>
      </c>
      <c r="AH453" t="s">
        <v>195</v>
      </c>
      <c r="AI453">
        <v>1</v>
      </c>
      <c r="AJ453" t="s">
        <v>196</v>
      </c>
      <c r="AK453" t="s">
        <v>194</v>
      </c>
      <c r="AL453" t="s">
        <v>197</v>
      </c>
      <c r="AM453" t="s">
        <v>198</v>
      </c>
      <c r="AR453" t="s">
        <v>194</v>
      </c>
      <c r="AS453" t="s">
        <v>199</v>
      </c>
      <c r="AU453" t="s">
        <v>197</v>
      </c>
      <c r="AZ453" t="s">
        <v>194</v>
      </c>
      <c r="BB453" t="s">
        <v>201</v>
      </c>
      <c r="BE453" t="s">
        <v>900</v>
      </c>
      <c r="BF453" t="s">
        <v>197</v>
      </c>
      <c r="BJ453" t="s">
        <v>205</v>
      </c>
      <c r="BK453" t="s">
        <v>206</v>
      </c>
      <c r="BL453" t="s">
        <v>194</v>
      </c>
      <c r="BO453" t="s">
        <v>216</v>
      </c>
      <c r="BP453" t="s">
        <v>216</v>
      </c>
      <c r="BQ453" t="s">
        <v>286</v>
      </c>
      <c r="BR453" t="s">
        <v>232</v>
      </c>
      <c r="BT453" t="s">
        <v>197</v>
      </c>
      <c r="BV453" t="s">
        <v>233</v>
      </c>
      <c r="CA453" t="s">
        <v>194</v>
      </c>
      <c r="CB453" t="s">
        <v>214</v>
      </c>
      <c r="CF453" t="s">
        <v>215</v>
      </c>
      <c r="CH453" t="s">
        <v>214</v>
      </c>
      <c r="CI453" t="s">
        <v>214</v>
      </c>
      <c r="CJ453" t="s">
        <v>214</v>
      </c>
      <c r="CP453" t="s">
        <v>214</v>
      </c>
      <c r="CS453" t="s">
        <v>216</v>
      </c>
      <c r="CV453" t="s">
        <v>214</v>
      </c>
      <c r="CW453" t="s">
        <v>214</v>
      </c>
      <c r="CX453" t="s">
        <v>217</v>
      </c>
      <c r="CY453" t="s">
        <v>214</v>
      </c>
      <c r="DA453" t="s">
        <v>218</v>
      </c>
    </row>
    <row r="454" spans="1:172" x14ac:dyDescent="0.3">
      <c r="A454">
        <v>19578939</v>
      </c>
      <c r="B454">
        <v>83368</v>
      </c>
      <c r="C454" t="str">
        <f>"080206552812"</f>
        <v>080206552812</v>
      </c>
      <c r="D454" t="s">
        <v>1285</v>
      </c>
      <c r="E454" t="s">
        <v>1286</v>
      </c>
      <c r="F454" t="s">
        <v>289</v>
      </c>
      <c r="G454" s="1">
        <v>39484</v>
      </c>
      <c r="I454" t="s">
        <v>187</v>
      </c>
      <c r="J454" t="s">
        <v>188</v>
      </c>
      <c r="K454" t="s">
        <v>345</v>
      </c>
      <c r="Y454" t="str">
        <f>"2021-08-05T00:00:00"</f>
        <v>2021-08-05T00:00:00</v>
      </c>
      <c r="Z454" t="str">
        <f>"25"</f>
        <v>25</v>
      </c>
      <c r="AA454" t="s">
        <v>190</v>
      </c>
      <c r="AB454" t="str">
        <f>"Moskowskaja.shool@yandex.kz"</f>
        <v>Moskowskaja.shool@yandex.kz</v>
      </c>
      <c r="AC454" t="s">
        <v>225</v>
      </c>
      <c r="AD454" t="s">
        <v>192</v>
      </c>
      <c r="AE454" t="s">
        <v>227</v>
      </c>
      <c r="AF454" t="s">
        <v>194</v>
      </c>
      <c r="AH454" t="s">
        <v>195</v>
      </c>
      <c r="AI454">
        <v>3</v>
      </c>
      <c r="AJ454" t="s">
        <v>196</v>
      </c>
      <c r="AK454" t="s">
        <v>194</v>
      </c>
      <c r="AL454" t="s">
        <v>197</v>
      </c>
      <c r="AM454" t="s">
        <v>198</v>
      </c>
      <c r="AR454" t="s">
        <v>194</v>
      </c>
      <c r="AS454" t="s">
        <v>199</v>
      </c>
      <c r="AU454" t="s">
        <v>197</v>
      </c>
      <c r="AZ454" t="s">
        <v>214</v>
      </c>
      <c r="BA454" t="s">
        <v>996</v>
      </c>
      <c r="BB454" t="s">
        <v>201</v>
      </c>
      <c r="BD454" t="s">
        <v>1172</v>
      </c>
      <c r="BE454" t="s">
        <v>202</v>
      </c>
      <c r="BF454" t="s">
        <v>197</v>
      </c>
      <c r="BG454" t="s">
        <v>1287</v>
      </c>
      <c r="BH454" t="s">
        <v>1288</v>
      </c>
      <c r="BJ454" t="s">
        <v>205</v>
      </c>
      <c r="BK454" t="s">
        <v>206</v>
      </c>
      <c r="BL454" t="s">
        <v>194</v>
      </c>
      <c r="BO454" t="s">
        <v>216</v>
      </c>
      <c r="BP454" t="s">
        <v>216</v>
      </c>
      <c r="BR454" t="s">
        <v>232</v>
      </c>
      <c r="BT454" t="s">
        <v>197</v>
      </c>
      <c r="BV454" t="s">
        <v>852</v>
      </c>
      <c r="BW454" t="s">
        <v>998</v>
      </c>
      <c r="BX454" t="s">
        <v>1289</v>
      </c>
      <c r="BY454" t="s">
        <v>250</v>
      </c>
      <c r="BZ454" t="s">
        <v>1290</v>
      </c>
      <c r="CA454" t="s">
        <v>194</v>
      </c>
      <c r="CB454" t="s">
        <v>214</v>
      </c>
      <c r="CF454" t="s">
        <v>215</v>
      </c>
      <c r="CH454" t="s">
        <v>214</v>
      </c>
      <c r="CI454" t="s">
        <v>214</v>
      </c>
      <c r="CJ454" t="s">
        <v>214</v>
      </c>
      <c r="CP454" t="s">
        <v>214</v>
      </c>
      <c r="CS454" t="s">
        <v>216</v>
      </c>
      <c r="CV454" t="s">
        <v>214</v>
      </c>
      <c r="CW454" t="s">
        <v>214</v>
      </c>
      <c r="CX454" t="s">
        <v>217</v>
      </c>
      <c r="CY454" t="s">
        <v>214</v>
      </c>
      <c r="DA454" t="s">
        <v>218</v>
      </c>
    </row>
    <row r="455" spans="1:172" x14ac:dyDescent="0.3">
      <c r="A455">
        <v>19644755</v>
      </c>
      <c r="B455">
        <v>8995268</v>
      </c>
      <c r="C455" t="str">
        <f>"141211601520"</f>
        <v>141211601520</v>
      </c>
      <c r="D455" t="s">
        <v>1291</v>
      </c>
      <c r="E455" t="s">
        <v>258</v>
      </c>
      <c r="F455" t="s">
        <v>582</v>
      </c>
      <c r="G455" s="1">
        <v>41984</v>
      </c>
      <c r="I455" t="s">
        <v>222</v>
      </c>
      <c r="J455" t="s">
        <v>188</v>
      </c>
      <c r="K455" t="s">
        <v>223</v>
      </c>
      <c r="Y455" t="str">
        <f>"2021-08-24T00:00:00"</f>
        <v>2021-08-24T00:00:00</v>
      </c>
      <c r="Z455" t="str">
        <f>"29"</f>
        <v>29</v>
      </c>
      <c r="AA455" t="s">
        <v>224</v>
      </c>
      <c r="AC455" t="s">
        <v>237</v>
      </c>
      <c r="AD455" t="s">
        <v>899</v>
      </c>
      <c r="AE455" t="s">
        <v>227</v>
      </c>
      <c r="AF455" t="s">
        <v>194</v>
      </c>
      <c r="AH455" t="s">
        <v>195</v>
      </c>
      <c r="AI455">
        <v>1</v>
      </c>
      <c r="AJ455" t="s">
        <v>196</v>
      </c>
      <c r="AK455" t="s">
        <v>194</v>
      </c>
      <c r="AL455" t="s">
        <v>197</v>
      </c>
      <c r="AM455" t="s">
        <v>198</v>
      </c>
      <c r="AR455" t="s">
        <v>214</v>
      </c>
      <c r="AU455" t="s">
        <v>197</v>
      </c>
      <c r="AZ455" t="s">
        <v>214</v>
      </c>
      <c r="BA455" t="s">
        <v>996</v>
      </c>
      <c r="BB455" t="s">
        <v>201</v>
      </c>
      <c r="BD455" t="s">
        <v>1172</v>
      </c>
      <c r="BE455" t="s">
        <v>900</v>
      </c>
      <c r="BF455" t="s">
        <v>197</v>
      </c>
      <c r="BJ455" t="s">
        <v>205</v>
      </c>
      <c r="BK455" t="s">
        <v>206</v>
      </c>
      <c r="BL455" t="s">
        <v>194</v>
      </c>
      <c r="BQ455" s="3">
        <v>45566</v>
      </c>
      <c r="BR455" t="s">
        <v>232</v>
      </c>
      <c r="BT455" t="s">
        <v>197</v>
      </c>
      <c r="BV455" t="s">
        <v>233</v>
      </c>
      <c r="CA455" t="s">
        <v>194</v>
      </c>
      <c r="CB455" t="s">
        <v>214</v>
      </c>
      <c r="CF455" t="s">
        <v>215</v>
      </c>
      <c r="CH455" t="s">
        <v>214</v>
      </c>
      <c r="CI455" t="s">
        <v>214</v>
      </c>
      <c r="CJ455" t="s">
        <v>214</v>
      </c>
      <c r="CP455" t="s">
        <v>214</v>
      </c>
      <c r="CS455" t="s">
        <v>216</v>
      </c>
      <c r="CV455" t="s">
        <v>214</v>
      </c>
      <c r="CW455" t="s">
        <v>214</v>
      </c>
      <c r="CX455" t="s">
        <v>217</v>
      </c>
      <c r="CY455" t="s">
        <v>214</v>
      </c>
      <c r="DA455" t="s">
        <v>218</v>
      </c>
      <c r="FP455" t="s">
        <v>194</v>
      </c>
    </row>
    <row r="456" spans="1:172" x14ac:dyDescent="0.3">
      <c r="A456">
        <v>20318454</v>
      </c>
      <c r="B456">
        <v>621361</v>
      </c>
      <c r="C456" t="str">
        <f>"150401601077"</f>
        <v>150401601077</v>
      </c>
      <c r="D456" t="s">
        <v>569</v>
      </c>
      <c r="E456" t="s">
        <v>484</v>
      </c>
      <c r="F456" t="s">
        <v>571</v>
      </c>
      <c r="G456" s="1">
        <v>42095</v>
      </c>
      <c r="I456" t="s">
        <v>222</v>
      </c>
      <c r="J456" t="s">
        <v>188</v>
      </c>
      <c r="K456" t="s">
        <v>189</v>
      </c>
      <c r="Y456" t="str">
        <f>"2021-08-24T00:00:00"</f>
        <v>2021-08-24T00:00:00</v>
      </c>
      <c r="Z456" t="str">
        <f>"29"</f>
        <v>29</v>
      </c>
      <c r="AA456" t="s">
        <v>190</v>
      </c>
      <c r="AC456" t="s">
        <v>191</v>
      </c>
      <c r="AD456" t="s">
        <v>899</v>
      </c>
      <c r="AE456" t="s">
        <v>243</v>
      </c>
      <c r="AF456" t="s">
        <v>194</v>
      </c>
      <c r="AH456" t="s">
        <v>195</v>
      </c>
      <c r="AI456">
        <v>1</v>
      </c>
      <c r="AJ456" t="s">
        <v>196</v>
      </c>
      <c r="AK456" t="s">
        <v>194</v>
      </c>
      <c r="AL456" t="s">
        <v>197</v>
      </c>
      <c r="AM456" t="s">
        <v>198</v>
      </c>
      <c r="AR456" t="s">
        <v>194</v>
      </c>
      <c r="AS456" t="s">
        <v>199</v>
      </c>
      <c r="AU456" t="s">
        <v>197</v>
      </c>
      <c r="AZ456" t="s">
        <v>214</v>
      </c>
      <c r="BA456" t="s">
        <v>996</v>
      </c>
      <c r="BB456" t="s">
        <v>201</v>
      </c>
      <c r="BD456" t="s">
        <v>1172</v>
      </c>
      <c r="BE456" t="s">
        <v>900</v>
      </c>
      <c r="BF456" t="s">
        <v>197</v>
      </c>
      <c r="BJ456" t="s">
        <v>205</v>
      </c>
      <c r="BK456" t="s">
        <v>206</v>
      </c>
      <c r="BL456" t="s">
        <v>194</v>
      </c>
      <c r="BQ456" t="s">
        <v>280</v>
      </c>
      <c r="BR456" t="s">
        <v>232</v>
      </c>
      <c r="BT456" t="s">
        <v>197</v>
      </c>
      <c r="BV456" t="s">
        <v>233</v>
      </c>
      <c r="CA456" t="s">
        <v>194</v>
      </c>
      <c r="CB456" t="s">
        <v>214</v>
      </c>
      <c r="CF456" t="s">
        <v>215</v>
      </c>
      <c r="CH456" t="s">
        <v>214</v>
      </c>
      <c r="CI456" t="s">
        <v>214</v>
      </c>
      <c r="CJ456" t="s">
        <v>214</v>
      </c>
      <c r="CP456" t="s">
        <v>214</v>
      </c>
      <c r="CS456" t="s">
        <v>216</v>
      </c>
      <c r="CV456" t="s">
        <v>214</v>
      </c>
      <c r="CW456" t="s">
        <v>214</v>
      </c>
      <c r="CX456" t="s">
        <v>217</v>
      </c>
      <c r="CY456" t="s">
        <v>214</v>
      </c>
      <c r="DA456" t="s">
        <v>218</v>
      </c>
    </row>
    <row r="457" spans="1:172" x14ac:dyDescent="0.3">
      <c r="A457">
        <v>19670586</v>
      </c>
      <c r="B457">
        <v>11441464</v>
      </c>
      <c r="C457" t="str">
        <f>"141226502801"</f>
        <v>141226502801</v>
      </c>
      <c r="D457" t="s">
        <v>1292</v>
      </c>
      <c r="E457" t="s">
        <v>1293</v>
      </c>
      <c r="F457" t="s">
        <v>390</v>
      </c>
      <c r="G457" s="1">
        <v>41999</v>
      </c>
      <c r="I457" t="s">
        <v>187</v>
      </c>
      <c r="J457" t="s">
        <v>188</v>
      </c>
      <c r="K457" t="s">
        <v>223</v>
      </c>
      <c r="Y457" t="str">
        <f>"2021-08-24T00:00:00"</f>
        <v>2021-08-24T00:00:00</v>
      </c>
      <c r="Z457" t="str">
        <f>"29"</f>
        <v>29</v>
      </c>
      <c r="AA457" t="s">
        <v>224</v>
      </c>
      <c r="AC457" t="s">
        <v>225</v>
      </c>
      <c r="AD457" t="s">
        <v>899</v>
      </c>
      <c r="AE457" t="s">
        <v>193</v>
      </c>
      <c r="AF457" t="s">
        <v>194</v>
      </c>
      <c r="AH457" t="s">
        <v>195</v>
      </c>
      <c r="AI457">
        <v>1</v>
      </c>
      <c r="AJ457" t="s">
        <v>196</v>
      </c>
      <c r="AK457" t="s">
        <v>194</v>
      </c>
      <c r="AL457" t="s">
        <v>197</v>
      </c>
      <c r="AM457" t="s">
        <v>198</v>
      </c>
      <c r="AR457" t="s">
        <v>194</v>
      </c>
      <c r="AS457" t="s">
        <v>199</v>
      </c>
      <c r="AU457" t="s">
        <v>197</v>
      </c>
      <c r="AZ457" t="s">
        <v>214</v>
      </c>
      <c r="BA457" t="s">
        <v>996</v>
      </c>
      <c r="BB457" t="s">
        <v>201</v>
      </c>
      <c r="BD457" t="s">
        <v>1172</v>
      </c>
      <c r="BE457" t="s">
        <v>900</v>
      </c>
      <c r="BF457" t="s">
        <v>197</v>
      </c>
      <c r="BJ457" t="s">
        <v>205</v>
      </c>
      <c r="BK457" t="s">
        <v>206</v>
      </c>
      <c r="BL457" t="s">
        <v>194</v>
      </c>
      <c r="BQ457" s="3">
        <v>45566</v>
      </c>
      <c r="BR457" t="s">
        <v>232</v>
      </c>
      <c r="BT457" t="s">
        <v>197</v>
      </c>
      <c r="BV457" t="s">
        <v>233</v>
      </c>
      <c r="CA457" t="s">
        <v>194</v>
      </c>
      <c r="CB457" t="s">
        <v>214</v>
      </c>
      <c r="CF457" t="s">
        <v>215</v>
      </c>
      <c r="CH457" t="s">
        <v>214</v>
      </c>
      <c r="CI457" t="s">
        <v>214</v>
      </c>
      <c r="CJ457" t="s">
        <v>214</v>
      </c>
      <c r="CP457" t="s">
        <v>214</v>
      </c>
      <c r="CS457" t="s">
        <v>216</v>
      </c>
      <c r="CV457" t="s">
        <v>214</v>
      </c>
      <c r="CW457" t="s">
        <v>214</v>
      </c>
      <c r="CX457" t="s">
        <v>217</v>
      </c>
      <c r="CY457" t="s">
        <v>214</v>
      </c>
      <c r="DA457" t="s">
        <v>218</v>
      </c>
      <c r="FP457" t="s">
        <v>194</v>
      </c>
    </row>
    <row r="458" spans="1:172" x14ac:dyDescent="0.3">
      <c r="A458">
        <v>20318639</v>
      </c>
      <c r="B458">
        <v>956062</v>
      </c>
      <c r="C458" t="str">
        <f>"140927501079"</f>
        <v>140927501079</v>
      </c>
      <c r="D458" t="s">
        <v>1294</v>
      </c>
      <c r="E458" t="s">
        <v>1295</v>
      </c>
      <c r="F458" t="s">
        <v>1296</v>
      </c>
      <c r="G458" s="1">
        <v>41909</v>
      </c>
      <c r="I458" t="s">
        <v>187</v>
      </c>
      <c r="J458" t="s">
        <v>188</v>
      </c>
      <c r="K458" t="s">
        <v>1297</v>
      </c>
      <c r="Y458" t="str">
        <f>"2021-08-24T00:00:00"</f>
        <v>2021-08-24T00:00:00</v>
      </c>
      <c r="Z458" t="str">
        <f>"29"</f>
        <v>29</v>
      </c>
      <c r="AA458" t="s">
        <v>224</v>
      </c>
      <c r="AC458" t="s">
        <v>225</v>
      </c>
      <c r="AD458" t="s">
        <v>899</v>
      </c>
      <c r="AE458" t="s">
        <v>413</v>
      </c>
      <c r="AF458" t="s">
        <v>194</v>
      </c>
      <c r="AH458" t="s">
        <v>195</v>
      </c>
      <c r="AI458">
        <v>1</v>
      </c>
      <c r="AJ458" t="s">
        <v>196</v>
      </c>
      <c r="AK458" t="s">
        <v>194</v>
      </c>
      <c r="AL458" t="s">
        <v>197</v>
      </c>
      <c r="AM458" t="s">
        <v>198</v>
      </c>
      <c r="AR458" t="s">
        <v>194</v>
      </c>
      <c r="AS458" t="s">
        <v>199</v>
      </c>
      <c r="AU458" t="s">
        <v>197</v>
      </c>
      <c r="AZ458" t="s">
        <v>214</v>
      </c>
      <c r="BA458" t="s">
        <v>996</v>
      </c>
      <c r="BB458" t="s">
        <v>201</v>
      </c>
      <c r="BD458" t="s">
        <v>1172</v>
      </c>
      <c r="BE458" t="s">
        <v>900</v>
      </c>
      <c r="BF458" t="s">
        <v>197</v>
      </c>
      <c r="BJ458" t="s">
        <v>205</v>
      </c>
      <c r="BK458" t="s">
        <v>206</v>
      </c>
      <c r="BL458" t="s">
        <v>194</v>
      </c>
      <c r="BO458" t="s">
        <v>216</v>
      </c>
      <c r="BP458" t="s">
        <v>216</v>
      </c>
      <c r="BQ458" t="s">
        <v>280</v>
      </c>
      <c r="BR458" t="s">
        <v>232</v>
      </c>
      <c r="BT458" t="s">
        <v>197</v>
      </c>
      <c r="BV458" t="s">
        <v>233</v>
      </c>
      <c r="CA458" t="s">
        <v>194</v>
      </c>
      <c r="CB458" t="s">
        <v>214</v>
      </c>
      <c r="CF458" t="s">
        <v>215</v>
      </c>
      <c r="CH458" t="s">
        <v>214</v>
      </c>
      <c r="CI458" t="s">
        <v>214</v>
      </c>
      <c r="CJ458" t="s">
        <v>214</v>
      </c>
      <c r="CP458" t="s">
        <v>214</v>
      </c>
      <c r="CS458" t="s">
        <v>216</v>
      </c>
      <c r="CV458" t="s">
        <v>214</v>
      </c>
      <c r="CW458" t="s">
        <v>214</v>
      </c>
      <c r="CX458" t="s">
        <v>217</v>
      </c>
      <c r="CY458" t="s">
        <v>214</v>
      </c>
      <c r="DA458" t="s">
        <v>218</v>
      </c>
    </row>
    <row r="459" spans="1:172" x14ac:dyDescent="0.3">
      <c r="A459">
        <v>19703196</v>
      </c>
      <c r="B459">
        <v>8909021</v>
      </c>
      <c r="C459" t="str">
        <f>"130514604042"</f>
        <v>130514604042</v>
      </c>
      <c r="D459" t="s">
        <v>1027</v>
      </c>
      <c r="E459" t="s">
        <v>1298</v>
      </c>
      <c r="F459" t="s">
        <v>1177</v>
      </c>
      <c r="G459" s="1">
        <v>41408</v>
      </c>
      <c r="I459" t="s">
        <v>222</v>
      </c>
      <c r="J459" t="s">
        <v>188</v>
      </c>
      <c r="K459" t="s">
        <v>189</v>
      </c>
      <c r="Y459" t="str">
        <f>"2021-08-05T00:00:00"</f>
        <v>2021-08-05T00:00:00</v>
      </c>
      <c r="Z459" t="str">
        <f>"25"</f>
        <v>25</v>
      </c>
      <c r="AA459" t="s">
        <v>190</v>
      </c>
      <c r="AC459" t="s">
        <v>255</v>
      </c>
      <c r="AD459" t="s">
        <v>615</v>
      </c>
      <c r="AE459" t="s">
        <v>227</v>
      </c>
      <c r="AF459" t="s">
        <v>194</v>
      </c>
      <c r="AH459" t="s">
        <v>195</v>
      </c>
      <c r="AI459">
        <v>2</v>
      </c>
      <c r="AJ459" t="s">
        <v>196</v>
      </c>
      <c r="AK459" t="s">
        <v>194</v>
      </c>
      <c r="AL459" t="s">
        <v>197</v>
      </c>
      <c r="AM459" t="s">
        <v>198</v>
      </c>
      <c r="AR459" t="s">
        <v>194</v>
      </c>
      <c r="AS459" t="s">
        <v>199</v>
      </c>
      <c r="AU459" t="s">
        <v>197</v>
      </c>
      <c r="AZ459" t="s">
        <v>214</v>
      </c>
      <c r="BA459" t="s">
        <v>996</v>
      </c>
      <c r="BB459" t="s">
        <v>201</v>
      </c>
      <c r="BD459" t="s">
        <v>1172</v>
      </c>
      <c r="BE459" t="s">
        <v>229</v>
      </c>
      <c r="BF459" t="s">
        <v>197</v>
      </c>
      <c r="BG459" t="s">
        <v>230</v>
      </c>
      <c r="BH459" t="s">
        <v>307</v>
      </c>
      <c r="BJ459" t="s">
        <v>205</v>
      </c>
      <c r="BK459" t="s">
        <v>206</v>
      </c>
      <c r="BL459" t="s">
        <v>194</v>
      </c>
      <c r="BQ459" t="s">
        <v>731</v>
      </c>
      <c r="BR459" t="s">
        <v>232</v>
      </c>
      <c r="BT459" t="s">
        <v>197</v>
      </c>
      <c r="BV459" t="s">
        <v>233</v>
      </c>
      <c r="CA459" t="s">
        <v>194</v>
      </c>
      <c r="CB459" t="s">
        <v>214</v>
      </c>
      <c r="CF459" t="s">
        <v>215</v>
      </c>
      <c r="CH459" t="s">
        <v>214</v>
      </c>
      <c r="CI459" t="s">
        <v>214</v>
      </c>
      <c r="CJ459" t="s">
        <v>214</v>
      </c>
      <c r="CP459" t="s">
        <v>214</v>
      </c>
      <c r="CS459" t="s">
        <v>216</v>
      </c>
      <c r="CV459" t="s">
        <v>214</v>
      </c>
      <c r="CW459" t="s">
        <v>214</v>
      </c>
      <c r="CX459" t="s">
        <v>217</v>
      </c>
      <c r="CY459" t="s">
        <v>214</v>
      </c>
      <c r="DA459" t="s">
        <v>218</v>
      </c>
    </row>
    <row r="460" spans="1:172" x14ac:dyDescent="0.3">
      <c r="A460">
        <v>19717840</v>
      </c>
      <c r="B460">
        <v>6164858</v>
      </c>
      <c r="C460" t="str">
        <f>"141108500145"</f>
        <v>141108500145</v>
      </c>
      <c r="D460" t="s">
        <v>1299</v>
      </c>
      <c r="E460" t="s">
        <v>1121</v>
      </c>
      <c r="F460" t="s">
        <v>297</v>
      </c>
      <c r="G460" s="1">
        <v>41951</v>
      </c>
      <c r="I460" t="s">
        <v>187</v>
      </c>
      <c r="J460" t="s">
        <v>188</v>
      </c>
      <c r="K460" t="s">
        <v>189</v>
      </c>
      <c r="Y460" t="str">
        <f>"2021-08-27T00:00:00"</f>
        <v>2021-08-27T00:00:00</v>
      </c>
      <c r="Z460" t="str">
        <f>"30"</f>
        <v>30</v>
      </c>
      <c r="AA460" t="s">
        <v>835</v>
      </c>
      <c r="AC460" t="s">
        <v>225</v>
      </c>
      <c r="AD460" t="s">
        <v>899</v>
      </c>
      <c r="AE460" t="s">
        <v>193</v>
      </c>
      <c r="AF460" t="s">
        <v>194</v>
      </c>
      <c r="AH460" t="s">
        <v>195</v>
      </c>
      <c r="AI460">
        <v>1</v>
      </c>
      <c r="AJ460" t="s">
        <v>196</v>
      </c>
      <c r="AK460" t="s">
        <v>194</v>
      </c>
      <c r="AL460" t="s">
        <v>197</v>
      </c>
      <c r="AM460" t="s">
        <v>198</v>
      </c>
      <c r="AR460" t="s">
        <v>194</v>
      </c>
      <c r="AS460" t="s">
        <v>199</v>
      </c>
      <c r="AU460" t="s">
        <v>197</v>
      </c>
      <c r="AZ460" t="s">
        <v>214</v>
      </c>
      <c r="BA460" t="s">
        <v>996</v>
      </c>
      <c r="BB460" t="s">
        <v>201</v>
      </c>
      <c r="BD460" t="s">
        <v>1172</v>
      </c>
      <c r="BE460" t="s">
        <v>900</v>
      </c>
      <c r="BF460" t="s">
        <v>197</v>
      </c>
      <c r="BJ460" t="s">
        <v>205</v>
      </c>
      <c r="BK460" t="s">
        <v>206</v>
      </c>
      <c r="BL460" t="s">
        <v>194</v>
      </c>
      <c r="BQ460" t="s">
        <v>280</v>
      </c>
      <c r="BR460" t="s">
        <v>232</v>
      </c>
      <c r="BT460" t="s">
        <v>197</v>
      </c>
      <c r="BV460" t="s">
        <v>233</v>
      </c>
      <c r="CA460" t="s">
        <v>214</v>
      </c>
      <c r="CB460" t="s">
        <v>214</v>
      </c>
      <c r="CF460" t="s">
        <v>215</v>
      </c>
      <c r="CH460" t="s">
        <v>214</v>
      </c>
      <c r="CI460" t="s">
        <v>214</v>
      </c>
      <c r="CJ460" t="s">
        <v>214</v>
      </c>
      <c r="CP460" t="s">
        <v>214</v>
      </c>
      <c r="CS460" t="s">
        <v>216</v>
      </c>
      <c r="CV460" t="s">
        <v>214</v>
      </c>
      <c r="CW460" t="s">
        <v>214</v>
      </c>
      <c r="CX460" t="s">
        <v>217</v>
      </c>
      <c r="CY460" t="s">
        <v>214</v>
      </c>
      <c r="DA460" t="s">
        <v>218</v>
      </c>
    </row>
    <row r="461" spans="1:172" x14ac:dyDescent="0.3">
      <c r="A461">
        <v>19741847</v>
      </c>
      <c r="B461">
        <v>934673</v>
      </c>
      <c r="C461" t="str">
        <f>"130929604841"</f>
        <v>130929604841</v>
      </c>
      <c r="D461" t="s">
        <v>1300</v>
      </c>
      <c r="E461" t="s">
        <v>258</v>
      </c>
      <c r="F461" t="s">
        <v>1301</v>
      </c>
      <c r="G461" s="1">
        <v>41546</v>
      </c>
      <c r="I461" t="s">
        <v>222</v>
      </c>
      <c r="J461" t="s">
        <v>188</v>
      </c>
      <c r="K461" t="s">
        <v>223</v>
      </c>
      <c r="Y461" t="str">
        <f>"2021-08-05T00:00:00"</f>
        <v>2021-08-05T00:00:00</v>
      </c>
      <c r="Z461" t="str">
        <f>"25"</f>
        <v>25</v>
      </c>
      <c r="AA461" t="s">
        <v>190</v>
      </c>
      <c r="AC461" t="s">
        <v>191</v>
      </c>
      <c r="AD461" t="s">
        <v>815</v>
      </c>
      <c r="AE461" t="s">
        <v>227</v>
      </c>
      <c r="AF461" t="s">
        <v>194</v>
      </c>
      <c r="AH461" t="s">
        <v>195</v>
      </c>
      <c r="AI461">
        <v>1</v>
      </c>
      <c r="AJ461" t="s">
        <v>196</v>
      </c>
      <c r="AK461" t="s">
        <v>194</v>
      </c>
      <c r="AL461" t="s">
        <v>197</v>
      </c>
      <c r="AM461" t="s">
        <v>198</v>
      </c>
      <c r="AR461" t="s">
        <v>194</v>
      </c>
      <c r="AS461" t="s">
        <v>199</v>
      </c>
      <c r="AU461" t="s">
        <v>197</v>
      </c>
      <c r="AZ461" t="s">
        <v>214</v>
      </c>
      <c r="BA461" t="s">
        <v>996</v>
      </c>
      <c r="BB461" t="s">
        <v>201</v>
      </c>
      <c r="BD461" t="s">
        <v>1172</v>
      </c>
      <c r="BE461" t="s">
        <v>229</v>
      </c>
      <c r="BF461" t="s">
        <v>197</v>
      </c>
      <c r="BG461" t="s">
        <v>230</v>
      </c>
      <c r="BH461" t="s">
        <v>307</v>
      </c>
      <c r="BJ461" t="s">
        <v>205</v>
      </c>
      <c r="BK461" t="s">
        <v>206</v>
      </c>
      <c r="BL461" t="s">
        <v>194</v>
      </c>
      <c r="BQ461" t="s">
        <v>271</v>
      </c>
      <c r="BR461" t="s">
        <v>232</v>
      </c>
      <c r="BT461" t="s">
        <v>197</v>
      </c>
      <c r="BV461" t="s">
        <v>233</v>
      </c>
      <c r="CA461" t="s">
        <v>214</v>
      </c>
      <c r="CB461" t="s">
        <v>214</v>
      </c>
      <c r="CF461" t="s">
        <v>215</v>
      </c>
      <c r="CH461" t="s">
        <v>214</v>
      </c>
      <c r="CI461" t="s">
        <v>214</v>
      </c>
      <c r="CJ461" t="s">
        <v>214</v>
      </c>
      <c r="CP461" t="s">
        <v>214</v>
      </c>
      <c r="CS461" t="s">
        <v>216</v>
      </c>
      <c r="CV461" t="s">
        <v>214</v>
      </c>
      <c r="CW461" t="s">
        <v>214</v>
      </c>
      <c r="CX461" t="s">
        <v>217</v>
      </c>
      <c r="CY461" t="s">
        <v>214</v>
      </c>
      <c r="DA461" t="s">
        <v>218</v>
      </c>
    </row>
    <row r="462" spans="1:172" x14ac:dyDescent="0.3">
      <c r="A462">
        <v>20318769</v>
      </c>
      <c r="B462">
        <v>621487</v>
      </c>
      <c r="C462" t="str">
        <f>"150423502356"</f>
        <v>150423502356</v>
      </c>
      <c r="D462" t="s">
        <v>1302</v>
      </c>
      <c r="E462" t="s">
        <v>1303</v>
      </c>
      <c r="F462" t="s">
        <v>344</v>
      </c>
      <c r="G462" s="1">
        <v>42117</v>
      </c>
      <c r="I462" t="s">
        <v>187</v>
      </c>
      <c r="J462" t="s">
        <v>188</v>
      </c>
      <c r="K462" t="s">
        <v>223</v>
      </c>
      <c r="Y462" t="str">
        <f>"2021-08-24T00:00:00"</f>
        <v>2021-08-24T00:00:00</v>
      </c>
      <c r="Z462" t="str">
        <f>"29"</f>
        <v>29</v>
      </c>
      <c r="AA462" t="s">
        <v>224</v>
      </c>
      <c r="AC462" t="s">
        <v>191</v>
      </c>
      <c r="AD462" t="s">
        <v>899</v>
      </c>
      <c r="AE462" t="s">
        <v>243</v>
      </c>
      <c r="AF462" t="s">
        <v>194</v>
      </c>
      <c r="AH462" t="s">
        <v>195</v>
      </c>
      <c r="AI462">
        <v>1</v>
      </c>
      <c r="AJ462" t="s">
        <v>196</v>
      </c>
      <c r="AK462" t="s">
        <v>194</v>
      </c>
      <c r="AL462" t="s">
        <v>197</v>
      </c>
      <c r="AM462" t="s">
        <v>198</v>
      </c>
      <c r="AR462" t="s">
        <v>194</v>
      </c>
      <c r="AS462" t="s">
        <v>199</v>
      </c>
      <c r="AU462" t="s">
        <v>197</v>
      </c>
      <c r="AZ462" t="s">
        <v>214</v>
      </c>
      <c r="BA462" t="s">
        <v>996</v>
      </c>
      <c r="BB462" t="s">
        <v>201</v>
      </c>
      <c r="BD462" t="s">
        <v>1172</v>
      </c>
      <c r="BE462" t="s">
        <v>900</v>
      </c>
      <c r="BF462" t="s">
        <v>197</v>
      </c>
      <c r="BJ462" t="s">
        <v>205</v>
      </c>
      <c r="BK462" t="s">
        <v>206</v>
      </c>
      <c r="BL462" t="s">
        <v>194</v>
      </c>
      <c r="BQ462" t="s">
        <v>280</v>
      </c>
      <c r="BR462" t="s">
        <v>232</v>
      </c>
      <c r="BT462" t="s">
        <v>197</v>
      </c>
      <c r="BV462" t="s">
        <v>233</v>
      </c>
      <c r="CA462" t="s">
        <v>194</v>
      </c>
      <c r="CB462" t="s">
        <v>214</v>
      </c>
      <c r="CF462" t="s">
        <v>215</v>
      </c>
      <c r="CH462" t="s">
        <v>214</v>
      </c>
      <c r="CI462" t="s">
        <v>214</v>
      </c>
      <c r="CJ462" t="s">
        <v>214</v>
      </c>
      <c r="CP462" t="s">
        <v>214</v>
      </c>
      <c r="CS462" t="s">
        <v>216</v>
      </c>
      <c r="CV462" t="s">
        <v>214</v>
      </c>
      <c r="CW462" t="s">
        <v>214</v>
      </c>
      <c r="CX462" t="s">
        <v>217</v>
      </c>
      <c r="CY462" t="s">
        <v>214</v>
      </c>
      <c r="DA462" t="s">
        <v>218</v>
      </c>
    </row>
    <row r="463" spans="1:172" x14ac:dyDescent="0.3">
      <c r="A463">
        <v>20318885</v>
      </c>
      <c r="B463">
        <v>11729638</v>
      </c>
      <c r="D463" t="s">
        <v>1304</v>
      </c>
      <c r="E463" t="s">
        <v>1305</v>
      </c>
      <c r="F463" t="s">
        <v>1306</v>
      </c>
      <c r="G463" s="1">
        <v>42023</v>
      </c>
      <c r="H463" t="s">
        <v>1307</v>
      </c>
      <c r="I463" t="s">
        <v>187</v>
      </c>
      <c r="J463" t="s">
        <v>337</v>
      </c>
      <c r="K463" t="s">
        <v>772</v>
      </c>
      <c r="L463" t="s">
        <v>214</v>
      </c>
      <c r="M463" t="str">
        <f>"0467546"</f>
        <v>0467546</v>
      </c>
      <c r="N463" t="str">
        <f>"2015-01-22T00:00:00"</f>
        <v>2015-01-22T00:00:00</v>
      </c>
      <c r="O463" t="str">
        <f>"{}"</f>
        <v>{}</v>
      </c>
      <c r="P463" t="str">
        <f>"{}"</f>
        <v>{}</v>
      </c>
      <c r="Y463" t="str">
        <f>"2021-08-24T00:00:00"</f>
        <v>2021-08-24T00:00:00</v>
      </c>
      <c r="Z463" t="str">
        <f>"29"</f>
        <v>29</v>
      </c>
      <c r="AA463" t="s">
        <v>1308</v>
      </c>
      <c r="AC463" t="s">
        <v>191</v>
      </c>
      <c r="AD463" t="s">
        <v>899</v>
      </c>
      <c r="AE463" t="s">
        <v>413</v>
      </c>
      <c r="AF463" t="s">
        <v>194</v>
      </c>
      <c r="AH463" t="s">
        <v>195</v>
      </c>
      <c r="AI463">
        <v>1</v>
      </c>
      <c r="AJ463" t="s">
        <v>196</v>
      </c>
      <c r="AK463" t="s">
        <v>194</v>
      </c>
      <c r="AL463" t="s">
        <v>197</v>
      </c>
      <c r="AM463" t="s">
        <v>198</v>
      </c>
      <c r="AR463" t="s">
        <v>194</v>
      </c>
      <c r="AS463" t="s">
        <v>199</v>
      </c>
      <c r="AU463" t="s">
        <v>197</v>
      </c>
      <c r="AZ463" t="s">
        <v>214</v>
      </c>
      <c r="BA463" t="s">
        <v>996</v>
      </c>
      <c r="BB463" t="s">
        <v>201</v>
      </c>
      <c r="BD463" t="s">
        <v>1172</v>
      </c>
      <c r="BE463" t="s">
        <v>202</v>
      </c>
      <c r="BF463" t="s">
        <v>197</v>
      </c>
      <c r="BJ463" t="s">
        <v>205</v>
      </c>
      <c r="BK463" t="s">
        <v>206</v>
      </c>
      <c r="BL463" t="s">
        <v>194</v>
      </c>
      <c r="BO463" t="s">
        <v>216</v>
      </c>
      <c r="BP463" t="s">
        <v>216</v>
      </c>
      <c r="BQ463" t="s">
        <v>280</v>
      </c>
      <c r="BR463" t="s">
        <v>232</v>
      </c>
      <c r="BT463" t="s">
        <v>197</v>
      </c>
      <c r="BV463" t="s">
        <v>233</v>
      </c>
      <c r="CA463" t="s">
        <v>194</v>
      </c>
      <c r="CB463" t="s">
        <v>214</v>
      </c>
      <c r="CF463" t="s">
        <v>215</v>
      </c>
      <c r="CH463" t="s">
        <v>214</v>
      </c>
      <c r="CI463" t="s">
        <v>214</v>
      </c>
      <c r="CJ463" t="s">
        <v>214</v>
      </c>
      <c r="CP463" t="s">
        <v>214</v>
      </c>
      <c r="CS463" t="s">
        <v>216</v>
      </c>
      <c r="CV463" t="s">
        <v>214</v>
      </c>
      <c r="CW463" t="s">
        <v>214</v>
      </c>
      <c r="CX463" t="s">
        <v>217</v>
      </c>
      <c r="CY463" t="s">
        <v>214</v>
      </c>
      <c r="DA463" t="s">
        <v>218</v>
      </c>
    </row>
    <row r="464" spans="1:172" x14ac:dyDescent="0.3">
      <c r="A464">
        <v>19863403</v>
      </c>
      <c r="B464">
        <v>2704897</v>
      </c>
      <c r="C464" t="str">
        <f>"120902503789"</f>
        <v>120902503789</v>
      </c>
      <c r="D464" t="s">
        <v>1309</v>
      </c>
      <c r="E464" t="s">
        <v>794</v>
      </c>
      <c r="F464" t="s">
        <v>289</v>
      </c>
      <c r="G464" s="1">
        <v>41154</v>
      </c>
      <c r="I464" t="s">
        <v>187</v>
      </c>
      <c r="J464" t="s">
        <v>188</v>
      </c>
      <c r="K464" t="s">
        <v>223</v>
      </c>
      <c r="Y464" t="str">
        <f>"2021-08-27T00:00:00"</f>
        <v>2021-08-27T00:00:00</v>
      </c>
      <c r="Z464" t="str">
        <f>"30"</f>
        <v>30</v>
      </c>
      <c r="AA464" t="s">
        <v>224</v>
      </c>
      <c r="AC464" t="s">
        <v>255</v>
      </c>
      <c r="AD464" t="s">
        <v>615</v>
      </c>
      <c r="AE464" t="s">
        <v>227</v>
      </c>
      <c r="AF464" t="s">
        <v>194</v>
      </c>
      <c r="AH464" t="s">
        <v>195</v>
      </c>
      <c r="AI464">
        <v>2</v>
      </c>
      <c r="AJ464" t="s">
        <v>196</v>
      </c>
      <c r="AK464" t="s">
        <v>194</v>
      </c>
      <c r="AL464" t="s">
        <v>197</v>
      </c>
      <c r="AM464" t="s">
        <v>198</v>
      </c>
      <c r="AR464" t="s">
        <v>194</v>
      </c>
      <c r="AS464" t="s">
        <v>199</v>
      </c>
      <c r="AU464" t="s">
        <v>197</v>
      </c>
      <c r="AZ464" t="s">
        <v>214</v>
      </c>
      <c r="BA464" t="s">
        <v>996</v>
      </c>
      <c r="BB464" t="s">
        <v>201</v>
      </c>
      <c r="BD464" t="s">
        <v>1172</v>
      </c>
      <c r="BE464" t="s">
        <v>202</v>
      </c>
      <c r="BF464" t="s">
        <v>197</v>
      </c>
      <c r="BG464" t="s">
        <v>230</v>
      </c>
      <c r="BH464" t="s">
        <v>400</v>
      </c>
      <c r="BJ464" t="s">
        <v>205</v>
      </c>
      <c r="BK464" t="s">
        <v>206</v>
      </c>
      <c r="BL464" t="s">
        <v>194</v>
      </c>
      <c r="BQ464" t="s">
        <v>731</v>
      </c>
      <c r="BR464" t="s">
        <v>232</v>
      </c>
      <c r="BT464" t="s">
        <v>197</v>
      </c>
      <c r="BV464" t="s">
        <v>233</v>
      </c>
      <c r="CA464" t="s">
        <v>194</v>
      </c>
      <c r="CB464" t="s">
        <v>214</v>
      </c>
      <c r="CF464" t="s">
        <v>215</v>
      </c>
      <c r="CH464" t="s">
        <v>214</v>
      </c>
      <c r="CI464" t="s">
        <v>214</v>
      </c>
      <c r="CJ464" t="s">
        <v>214</v>
      </c>
      <c r="CP464" t="s">
        <v>214</v>
      </c>
      <c r="CS464" t="s">
        <v>216</v>
      </c>
      <c r="CV464" t="s">
        <v>214</v>
      </c>
      <c r="CW464" t="s">
        <v>214</v>
      </c>
      <c r="CX464" t="s">
        <v>217</v>
      </c>
      <c r="CY464" t="s">
        <v>214</v>
      </c>
      <c r="DA464" t="s">
        <v>218</v>
      </c>
    </row>
    <row r="465" spans="1:105" x14ac:dyDescent="0.3">
      <c r="A465">
        <v>19868009</v>
      </c>
      <c r="B465">
        <v>6129205</v>
      </c>
      <c r="C465" t="str">
        <f>"090904550416"</f>
        <v>090904550416</v>
      </c>
      <c r="D465" t="s">
        <v>1310</v>
      </c>
      <c r="E465" t="s">
        <v>855</v>
      </c>
      <c r="F465" t="s">
        <v>1284</v>
      </c>
      <c r="G465" s="1">
        <v>40060</v>
      </c>
      <c r="I465" t="s">
        <v>187</v>
      </c>
      <c r="J465" t="s">
        <v>188</v>
      </c>
      <c r="K465" t="s">
        <v>189</v>
      </c>
      <c r="Y465" t="str">
        <f>"2021-08-27T00:00:00"</f>
        <v>2021-08-27T00:00:00</v>
      </c>
      <c r="Z465" t="str">
        <f>"30"</f>
        <v>30</v>
      </c>
      <c r="AA465" t="s">
        <v>224</v>
      </c>
      <c r="AC465" t="s">
        <v>225</v>
      </c>
      <c r="AD465" t="s">
        <v>242</v>
      </c>
      <c r="AE465" t="s">
        <v>243</v>
      </c>
      <c r="AF465" t="s">
        <v>194</v>
      </c>
      <c r="AH465" t="s">
        <v>195</v>
      </c>
      <c r="AI465">
        <v>2</v>
      </c>
      <c r="AJ465" t="s">
        <v>196</v>
      </c>
      <c r="AK465" t="s">
        <v>194</v>
      </c>
      <c r="AL465" t="s">
        <v>197</v>
      </c>
      <c r="AM465" t="s">
        <v>198</v>
      </c>
      <c r="AR465" t="s">
        <v>194</v>
      </c>
      <c r="AS465" t="s">
        <v>199</v>
      </c>
      <c r="AU465" t="s">
        <v>197</v>
      </c>
      <c r="AZ465" t="s">
        <v>214</v>
      </c>
      <c r="BA465" t="s">
        <v>996</v>
      </c>
      <c r="BB465" t="s">
        <v>201</v>
      </c>
      <c r="BD465" t="s">
        <v>1172</v>
      </c>
      <c r="BE465" t="s">
        <v>202</v>
      </c>
      <c r="BF465" t="s">
        <v>197</v>
      </c>
      <c r="BG465" t="s">
        <v>230</v>
      </c>
      <c r="BH465" t="s">
        <v>400</v>
      </c>
      <c r="BJ465" t="s">
        <v>205</v>
      </c>
      <c r="BK465" t="s">
        <v>206</v>
      </c>
      <c r="BL465" t="s">
        <v>194</v>
      </c>
      <c r="BR465" t="s">
        <v>232</v>
      </c>
      <c r="BT465" t="s">
        <v>1311</v>
      </c>
      <c r="BU465" t="s">
        <v>208</v>
      </c>
      <c r="BV465" t="s">
        <v>233</v>
      </c>
      <c r="CA465" t="s">
        <v>194</v>
      </c>
      <c r="CB465" t="s">
        <v>214</v>
      </c>
      <c r="CF465" t="s">
        <v>215</v>
      </c>
      <c r="CH465" t="s">
        <v>214</v>
      </c>
      <c r="CI465" t="s">
        <v>214</v>
      </c>
      <c r="CJ465" t="s">
        <v>214</v>
      </c>
      <c r="CP465" t="s">
        <v>214</v>
      </c>
      <c r="CS465" t="s">
        <v>216</v>
      </c>
      <c r="CV465" t="s">
        <v>214</v>
      </c>
      <c r="CW465" t="s">
        <v>214</v>
      </c>
      <c r="CX465" t="s">
        <v>217</v>
      </c>
      <c r="CY465" t="s">
        <v>214</v>
      </c>
      <c r="DA465" t="s">
        <v>218</v>
      </c>
    </row>
    <row r="466" spans="1:105" x14ac:dyDescent="0.3">
      <c r="A466">
        <v>19868083</v>
      </c>
      <c r="B466">
        <v>6067107</v>
      </c>
      <c r="C466" t="str">
        <f>"130527504364"</f>
        <v>130527504364</v>
      </c>
      <c r="D466" t="s">
        <v>1310</v>
      </c>
      <c r="E466" t="s">
        <v>523</v>
      </c>
      <c r="F466" t="s">
        <v>1284</v>
      </c>
      <c r="G466" s="1">
        <v>41421</v>
      </c>
      <c r="I466" t="s">
        <v>187</v>
      </c>
      <c r="J466" t="s">
        <v>188</v>
      </c>
      <c r="K466" t="s">
        <v>189</v>
      </c>
      <c r="Y466" t="str">
        <f>"2021-08-27T00:00:00"</f>
        <v>2021-08-27T00:00:00</v>
      </c>
      <c r="Z466" t="str">
        <f>"30"</f>
        <v>30</v>
      </c>
      <c r="AA466" t="s">
        <v>224</v>
      </c>
      <c r="AC466" t="s">
        <v>191</v>
      </c>
      <c r="AD466" t="s">
        <v>815</v>
      </c>
      <c r="AE466" t="s">
        <v>243</v>
      </c>
      <c r="AF466" t="s">
        <v>194</v>
      </c>
      <c r="AH466" t="s">
        <v>195</v>
      </c>
      <c r="AI466">
        <v>1</v>
      </c>
      <c r="AJ466" t="s">
        <v>196</v>
      </c>
      <c r="AK466" t="s">
        <v>194</v>
      </c>
      <c r="AL466" t="s">
        <v>197</v>
      </c>
      <c r="AM466" t="s">
        <v>198</v>
      </c>
      <c r="AR466" t="s">
        <v>194</v>
      </c>
      <c r="AS466" t="s">
        <v>199</v>
      </c>
      <c r="AU466" t="s">
        <v>197</v>
      </c>
      <c r="AZ466" t="s">
        <v>214</v>
      </c>
      <c r="BA466" t="s">
        <v>996</v>
      </c>
      <c r="BB466" t="s">
        <v>201</v>
      </c>
      <c r="BD466" t="s">
        <v>1172</v>
      </c>
      <c r="BE466" t="s">
        <v>229</v>
      </c>
      <c r="BF466" t="s">
        <v>197</v>
      </c>
      <c r="BG466" t="s">
        <v>230</v>
      </c>
      <c r="BH466" t="s">
        <v>307</v>
      </c>
      <c r="BJ466" t="s">
        <v>205</v>
      </c>
      <c r="BK466" t="s">
        <v>206</v>
      </c>
      <c r="BL466" t="s">
        <v>194</v>
      </c>
      <c r="BQ466" t="s">
        <v>280</v>
      </c>
      <c r="BR466" t="s">
        <v>232</v>
      </c>
      <c r="BT466" t="s">
        <v>1312</v>
      </c>
      <c r="BU466" t="s">
        <v>208</v>
      </c>
      <c r="BV466" t="s">
        <v>233</v>
      </c>
      <c r="CA466" t="s">
        <v>194</v>
      </c>
      <c r="CB466" t="s">
        <v>214</v>
      </c>
      <c r="CF466" t="s">
        <v>215</v>
      </c>
      <c r="CH466" t="s">
        <v>214</v>
      </c>
      <c r="CI466" t="s">
        <v>214</v>
      </c>
      <c r="CJ466" t="s">
        <v>214</v>
      </c>
      <c r="CP466" t="s">
        <v>214</v>
      </c>
      <c r="CS466" t="s">
        <v>216</v>
      </c>
      <c r="CV466" t="s">
        <v>214</v>
      </c>
      <c r="CW466" t="s">
        <v>214</v>
      </c>
      <c r="CX466" t="s">
        <v>217</v>
      </c>
      <c r="CY466" t="s">
        <v>214</v>
      </c>
      <c r="DA466" t="s">
        <v>218</v>
      </c>
    </row>
    <row r="467" spans="1:105" x14ac:dyDescent="0.3">
      <c r="A467">
        <v>20319085</v>
      </c>
      <c r="B467">
        <v>11729691</v>
      </c>
      <c r="C467" t="str">
        <f>"131123650033"</f>
        <v>131123650033</v>
      </c>
      <c r="D467" t="s">
        <v>1313</v>
      </c>
      <c r="E467" t="s">
        <v>882</v>
      </c>
      <c r="F467" t="s">
        <v>497</v>
      </c>
      <c r="G467" s="1">
        <v>41601</v>
      </c>
      <c r="I467" t="s">
        <v>222</v>
      </c>
      <c r="J467" t="s">
        <v>188</v>
      </c>
      <c r="K467" t="s">
        <v>223</v>
      </c>
      <c r="Y467" t="str">
        <f>"2021-08-24T00:00:00"</f>
        <v>2021-08-24T00:00:00</v>
      </c>
      <c r="Z467" t="str">
        <f>"29"</f>
        <v>29</v>
      </c>
      <c r="AA467" t="s">
        <v>224</v>
      </c>
      <c r="AC467" t="s">
        <v>191</v>
      </c>
      <c r="AD467" t="s">
        <v>899</v>
      </c>
      <c r="AE467" t="s">
        <v>413</v>
      </c>
      <c r="AF467" t="s">
        <v>194</v>
      </c>
      <c r="AH467" t="s">
        <v>195</v>
      </c>
      <c r="AI467">
        <v>1</v>
      </c>
      <c r="AJ467" t="s">
        <v>196</v>
      </c>
      <c r="AK467" t="s">
        <v>194</v>
      </c>
      <c r="AL467" t="s">
        <v>197</v>
      </c>
      <c r="AM467" t="s">
        <v>198</v>
      </c>
      <c r="AR467" t="s">
        <v>194</v>
      </c>
      <c r="AS467" t="s">
        <v>199</v>
      </c>
      <c r="AU467" t="s">
        <v>197</v>
      </c>
      <c r="AZ467" t="s">
        <v>214</v>
      </c>
      <c r="BA467" t="s">
        <v>996</v>
      </c>
      <c r="BB467" t="s">
        <v>201</v>
      </c>
      <c r="BD467" t="s">
        <v>1172</v>
      </c>
      <c r="BE467" t="s">
        <v>900</v>
      </c>
      <c r="BF467" t="s">
        <v>197</v>
      </c>
      <c r="BJ467" t="s">
        <v>205</v>
      </c>
      <c r="BK467" t="s">
        <v>206</v>
      </c>
      <c r="BL467" t="s">
        <v>194</v>
      </c>
      <c r="BQ467" t="s">
        <v>280</v>
      </c>
      <c r="BR467" t="s">
        <v>232</v>
      </c>
      <c r="BT467" t="s">
        <v>197</v>
      </c>
      <c r="BV467" t="s">
        <v>233</v>
      </c>
      <c r="CA467" t="s">
        <v>194</v>
      </c>
      <c r="CB467" t="s">
        <v>214</v>
      </c>
      <c r="CF467" t="s">
        <v>215</v>
      </c>
      <c r="CH467" t="s">
        <v>214</v>
      </c>
      <c r="CI467" t="s">
        <v>214</v>
      </c>
      <c r="CJ467" t="s">
        <v>214</v>
      </c>
      <c r="CP467" t="s">
        <v>214</v>
      </c>
      <c r="CS467" t="s">
        <v>216</v>
      </c>
      <c r="CV467" t="s">
        <v>214</v>
      </c>
      <c r="CW467" t="s">
        <v>214</v>
      </c>
      <c r="CX467" t="s">
        <v>217</v>
      </c>
      <c r="CY467" t="s">
        <v>214</v>
      </c>
      <c r="DA467" t="s">
        <v>218</v>
      </c>
    </row>
    <row r="468" spans="1:105" x14ac:dyDescent="0.3">
      <c r="A468">
        <v>20319106</v>
      </c>
      <c r="B468">
        <v>11729698</v>
      </c>
      <c r="C468" t="str">
        <f>"150226650034"</f>
        <v>150226650034</v>
      </c>
      <c r="D468" t="s">
        <v>1313</v>
      </c>
      <c r="E468" t="s">
        <v>656</v>
      </c>
      <c r="F468" t="s">
        <v>365</v>
      </c>
      <c r="G468" s="1">
        <v>42061</v>
      </c>
      <c r="I468" t="s">
        <v>222</v>
      </c>
      <c r="J468" t="s">
        <v>188</v>
      </c>
      <c r="K468" t="s">
        <v>223</v>
      </c>
      <c r="Y468" t="str">
        <f>"2021-08-24T00:00:00"</f>
        <v>2021-08-24T00:00:00</v>
      </c>
      <c r="Z468" t="str">
        <f>"29"</f>
        <v>29</v>
      </c>
      <c r="AA468" t="s">
        <v>224</v>
      </c>
      <c r="AC468" t="s">
        <v>191</v>
      </c>
      <c r="AD468" t="s">
        <v>899</v>
      </c>
      <c r="AE468" t="s">
        <v>413</v>
      </c>
      <c r="AF468" t="s">
        <v>194</v>
      </c>
      <c r="AH468" t="s">
        <v>195</v>
      </c>
      <c r="AI468">
        <v>1</v>
      </c>
      <c r="AJ468" t="s">
        <v>196</v>
      </c>
      <c r="AK468" t="s">
        <v>194</v>
      </c>
      <c r="AL468" t="s">
        <v>197</v>
      </c>
      <c r="AM468" t="s">
        <v>198</v>
      </c>
      <c r="AR468" t="s">
        <v>194</v>
      </c>
      <c r="AS468" t="s">
        <v>199</v>
      </c>
      <c r="AU468" t="s">
        <v>197</v>
      </c>
      <c r="AZ468" t="s">
        <v>214</v>
      </c>
      <c r="BA468" t="s">
        <v>996</v>
      </c>
      <c r="BB468" t="s">
        <v>201</v>
      </c>
      <c r="BD468" t="s">
        <v>1172</v>
      </c>
      <c r="BE468" t="s">
        <v>900</v>
      </c>
      <c r="BF468" t="s">
        <v>197</v>
      </c>
      <c r="BJ468" t="s">
        <v>205</v>
      </c>
      <c r="BK468" t="s">
        <v>206</v>
      </c>
      <c r="BL468" t="s">
        <v>194</v>
      </c>
      <c r="BQ468" t="s">
        <v>280</v>
      </c>
      <c r="BR468" t="s">
        <v>232</v>
      </c>
      <c r="BT468" t="s">
        <v>197</v>
      </c>
      <c r="BV468" t="s">
        <v>233</v>
      </c>
      <c r="CA468" t="s">
        <v>194</v>
      </c>
      <c r="CB468" t="s">
        <v>214</v>
      </c>
      <c r="CF468" t="s">
        <v>215</v>
      </c>
      <c r="CH468" t="s">
        <v>214</v>
      </c>
      <c r="CI468" t="s">
        <v>214</v>
      </c>
      <c r="CJ468" t="s">
        <v>214</v>
      </c>
      <c r="CP468" t="s">
        <v>214</v>
      </c>
      <c r="CS468" t="s">
        <v>216</v>
      </c>
      <c r="CV468" t="s">
        <v>214</v>
      </c>
      <c r="CW468" t="s">
        <v>214</v>
      </c>
      <c r="CX468" t="s">
        <v>217</v>
      </c>
      <c r="CY468" t="s">
        <v>214</v>
      </c>
      <c r="DA468" t="s">
        <v>218</v>
      </c>
    </row>
    <row r="469" spans="1:105" x14ac:dyDescent="0.3">
      <c r="A469">
        <v>20319128</v>
      </c>
      <c r="B469">
        <v>11729705</v>
      </c>
      <c r="C469" t="str">
        <f>"150117602488"</f>
        <v>150117602488</v>
      </c>
      <c r="D469" t="s">
        <v>1314</v>
      </c>
      <c r="E469" t="s">
        <v>484</v>
      </c>
      <c r="F469" t="s">
        <v>714</v>
      </c>
      <c r="G469" s="1">
        <v>42021</v>
      </c>
      <c r="I469" t="s">
        <v>222</v>
      </c>
      <c r="J469" t="s">
        <v>188</v>
      </c>
      <c r="K469" t="s">
        <v>189</v>
      </c>
      <c r="Y469" t="str">
        <f>"2021-08-24T00:00:00"</f>
        <v>2021-08-24T00:00:00</v>
      </c>
      <c r="Z469" t="str">
        <f>"29"</f>
        <v>29</v>
      </c>
      <c r="AA469" t="s">
        <v>224</v>
      </c>
      <c r="AC469" t="s">
        <v>191</v>
      </c>
      <c r="AD469" t="s">
        <v>899</v>
      </c>
      <c r="AE469" t="s">
        <v>413</v>
      </c>
      <c r="AF469" t="s">
        <v>194</v>
      </c>
      <c r="AH469" t="s">
        <v>195</v>
      </c>
      <c r="AI469">
        <v>1</v>
      </c>
      <c r="AJ469" t="s">
        <v>196</v>
      </c>
      <c r="AK469" t="s">
        <v>194</v>
      </c>
      <c r="AL469" t="s">
        <v>197</v>
      </c>
      <c r="AM469" t="s">
        <v>198</v>
      </c>
      <c r="AR469" t="s">
        <v>214</v>
      </c>
      <c r="AU469" t="s">
        <v>197</v>
      </c>
      <c r="AZ469" t="s">
        <v>194</v>
      </c>
      <c r="BB469" t="s">
        <v>201</v>
      </c>
      <c r="BD469" t="s">
        <v>1172</v>
      </c>
      <c r="BE469" t="s">
        <v>900</v>
      </c>
      <c r="BF469" t="s">
        <v>197</v>
      </c>
      <c r="BJ469" t="s">
        <v>205</v>
      </c>
      <c r="BK469" t="s">
        <v>206</v>
      </c>
      <c r="BL469" t="s">
        <v>194</v>
      </c>
      <c r="BQ469" t="s">
        <v>280</v>
      </c>
      <c r="BR469" t="s">
        <v>232</v>
      </c>
      <c r="BT469" t="s">
        <v>197</v>
      </c>
      <c r="BV469" t="s">
        <v>233</v>
      </c>
      <c r="CA469" t="s">
        <v>194</v>
      </c>
      <c r="CB469" t="s">
        <v>214</v>
      </c>
      <c r="CF469" t="s">
        <v>215</v>
      </c>
      <c r="CH469" t="s">
        <v>214</v>
      </c>
      <c r="CI469" t="s">
        <v>214</v>
      </c>
      <c r="CJ469" t="s">
        <v>214</v>
      </c>
      <c r="CP469" t="s">
        <v>214</v>
      </c>
      <c r="CS469" t="s">
        <v>216</v>
      </c>
      <c r="CV469" t="s">
        <v>214</v>
      </c>
      <c r="CW469" t="s">
        <v>214</v>
      </c>
      <c r="CX469" t="s">
        <v>217</v>
      </c>
      <c r="CY469" t="s">
        <v>214</v>
      </c>
      <c r="DA469" t="s">
        <v>218</v>
      </c>
    </row>
    <row r="470" spans="1:105" x14ac:dyDescent="0.3">
      <c r="A470">
        <v>20185206</v>
      </c>
      <c r="B470">
        <v>934972</v>
      </c>
      <c r="C470" t="str">
        <f>"050503651671"</f>
        <v>050503651671</v>
      </c>
      <c r="D470" t="s">
        <v>1315</v>
      </c>
      <c r="E470" t="s">
        <v>1092</v>
      </c>
      <c r="F470" t="s">
        <v>1316</v>
      </c>
      <c r="G470" s="1">
        <v>38475</v>
      </c>
      <c r="I470" t="s">
        <v>222</v>
      </c>
      <c r="J470" t="s">
        <v>188</v>
      </c>
      <c r="K470" t="s">
        <v>189</v>
      </c>
      <c r="Y470" t="str">
        <f>"2021-08-05T00:00:00"</f>
        <v>2021-08-05T00:00:00</v>
      </c>
      <c r="Z470" t="str">
        <f>"24"</f>
        <v>24</v>
      </c>
      <c r="AA470" t="s">
        <v>224</v>
      </c>
      <c r="AB470" t="str">
        <f>"akm_arshalu_novoaleksandrovka@mail.ru"</f>
        <v>akm_arshalu_novoaleksandrovka@mail.ru</v>
      </c>
      <c r="AC470" t="s">
        <v>191</v>
      </c>
      <c r="AD470" t="s">
        <v>1217</v>
      </c>
      <c r="AE470" t="s">
        <v>227</v>
      </c>
      <c r="AF470" t="s">
        <v>194</v>
      </c>
      <c r="AH470" t="s">
        <v>195</v>
      </c>
      <c r="AI470">
        <v>3</v>
      </c>
      <c r="AJ470" t="s">
        <v>196</v>
      </c>
      <c r="AK470" t="s">
        <v>194</v>
      </c>
      <c r="AL470" t="s">
        <v>197</v>
      </c>
      <c r="AM470" t="s">
        <v>811</v>
      </c>
      <c r="AQ470" t="str">
        <f>"2020-11-04T10:09:00"</f>
        <v>2020-11-04T10:09:00</v>
      </c>
      <c r="AR470" t="s">
        <v>214</v>
      </c>
      <c r="AU470" t="s">
        <v>197</v>
      </c>
      <c r="AZ470" t="s">
        <v>194</v>
      </c>
      <c r="BA470" t="s">
        <v>200</v>
      </c>
      <c r="BB470" t="s">
        <v>201</v>
      </c>
      <c r="BC470" t="s">
        <v>200</v>
      </c>
      <c r="BE470" t="s">
        <v>202</v>
      </c>
      <c r="BF470" t="s">
        <v>197</v>
      </c>
      <c r="BG470" t="s">
        <v>339</v>
      </c>
      <c r="BH470" t="s">
        <v>1317</v>
      </c>
      <c r="BJ470" t="s">
        <v>205</v>
      </c>
      <c r="BK470" t="s">
        <v>206</v>
      </c>
      <c r="BL470" t="s">
        <v>214</v>
      </c>
      <c r="BO470" t="s">
        <v>200</v>
      </c>
      <c r="BP470" t="s">
        <v>200</v>
      </c>
      <c r="BR470" t="s">
        <v>1218</v>
      </c>
      <c r="BS470" t="s">
        <v>208</v>
      </c>
      <c r="BT470" t="s">
        <v>197</v>
      </c>
      <c r="BV470" t="s">
        <v>233</v>
      </c>
      <c r="CA470" t="s">
        <v>194</v>
      </c>
      <c r="CB470" t="s">
        <v>214</v>
      </c>
      <c r="CF470" t="s">
        <v>215</v>
      </c>
      <c r="CH470" t="s">
        <v>214</v>
      </c>
      <c r="CI470" t="s">
        <v>214</v>
      </c>
      <c r="CJ470" t="s">
        <v>214</v>
      </c>
      <c r="CP470" t="s">
        <v>214</v>
      </c>
      <c r="CS470" t="s">
        <v>216</v>
      </c>
      <c r="CV470" t="s">
        <v>214</v>
      </c>
      <c r="CW470" t="s">
        <v>214</v>
      </c>
      <c r="CX470" t="s">
        <v>217</v>
      </c>
      <c r="CY470" t="s">
        <v>214</v>
      </c>
      <c r="DA470" t="s">
        <v>218</v>
      </c>
    </row>
    <row r="471" spans="1:105" x14ac:dyDescent="0.3">
      <c r="A471">
        <v>20185207</v>
      </c>
      <c r="B471">
        <v>6119170</v>
      </c>
      <c r="C471" t="str">
        <f>"050818551589"</f>
        <v>050818551589</v>
      </c>
      <c r="D471" t="s">
        <v>907</v>
      </c>
      <c r="E471" t="s">
        <v>1318</v>
      </c>
      <c r="F471" t="s">
        <v>1319</v>
      </c>
      <c r="G471" s="1">
        <v>38582</v>
      </c>
      <c r="I471" t="s">
        <v>187</v>
      </c>
      <c r="J471" t="s">
        <v>188</v>
      </c>
      <c r="K471" t="s">
        <v>189</v>
      </c>
      <c r="Y471" t="str">
        <f>"2021-08-05T00:00:00"</f>
        <v>2021-08-05T00:00:00</v>
      </c>
      <c r="Z471" t="str">
        <f>"24"</f>
        <v>24</v>
      </c>
      <c r="AA471" t="s">
        <v>835</v>
      </c>
      <c r="AB471" t="str">
        <f>"akm_arshalu_novoaleksandrovka@mail.ru"</f>
        <v>akm_arshalu_novoaleksandrovka@mail.ru</v>
      </c>
      <c r="AC471" t="s">
        <v>237</v>
      </c>
      <c r="AD471" t="s">
        <v>1217</v>
      </c>
      <c r="AE471" t="s">
        <v>227</v>
      </c>
      <c r="AF471" t="s">
        <v>194</v>
      </c>
      <c r="AH471" t="s">
        <v>195</v>
      </c>
      <c r="AI471">
        <v>3</v>
      </c>
      <c r="AJ471" t="s">
        <v>196</v>
      </c>
      <c r="AK471" t="s">
        <v>194</v>
      </c>
      <c r="AL471" t="s">
        <v>197</v>
      </c>
      <c r="AM471" t="s">
        <v>228</v>
      </c>
      <c r="AR471" t="s">
        <v>194</v>
      </c>
      <c r="AS471" t="s">
        <v>199</v>
      </c>
      <c r="AU471" t="s">
        <v>197</v>
      </c>
      <c r="AZ471" t="s">
        <v>194</v>
      </c>
      <c r="BA471" t="s">
        <v>200</v>
      </c>
      <c r="BB471" t="s">
        <v>201</v>
      </c>
      <c r="BD471" t="s">
        <v>200</v>
      </c>
      <c r="BE471" t="s">
        <v>202</v>
      </c>
      <c r="BF471" t="s">
        <v>197</v>
      </c>
      <c r="BG471" t="s">
        <v>339</v>
      </c>
      <c r="BH471" t="s">
        <v>318</v>
      </c>
      <c r="BJ471" t="s">
        <v>205</v>
      </c>
      <c r="BK471" t="s">
        <v>206</v>
      </c>
      <c r="BL471" t="s">
        <v>194</v>
      </c>
      <c r="BO471" t="s">
        <v>200</v>
      </c>
      <c r="BP471" t="s">
        <v>200</v>
      </c>
      <c r="BR471" t="s">
        <v>1218</v>
      </c>
      <c r="BS471" t="s">
        <v>208</v>
      </c>
      <c r="BT471" t="s">
        <v>197</v>
      </c>
      <c r="BV471" t="s">
        <v>233</v>
      </c>
      <c r="CA471" t="s">
        <v>194</v>
      </c>
      <c r="CB471" t="s">
        <v>214</v>
      </c>
      <c r="CF471" t="s">
        <v>215</v>
      </c>
      <c r="CH471" t="s">
        <v>214</v>
      </c>
      <c r="CI471" t="s">
        <v>214</v>
      </c>
      <c r="CJ471" t="s">
        <v>214</v>
      </c>
      <c r="CP471" t="s">
        <v>214</v>
      </c>
      <c r="CS471" t="s">
        <v>216</v>
      </c>
      <c r="CV471" t="s">
        <v>214</v>
      </c>
      <c r="CW471" t="s">
        <v>214</v>
      </c>
      <c r="CX471" t="s">
        <v>217</v>
      </c>
      <c r="CY471" t="s">
        <v>214</v>
      </c>
      <c r="DA471" t="s">
        <v>218</v>
      </c>
    </row>
    <row r="472" spans="1:105" x14ac:dyDescent="0.3">
      <c r="A472">
        <v>20319192</v>
      </c>
      <c r="B472">
        <v>5998989</v>
      </c>
      <c r="C472" t="str">
        <f>"150507502104"</f>
        <v>150507502104</v>
      </c>
      <c r="D472" t="s">
        <v>1320</v>
      </c>
      <c r="E472" t="s">
        <v>1121</v>
      </c>
      <c r="F472" t="s">
        <v>323</v>
      </c>
      <c r="G472" s="1">
        <v>42131</v>
      </c>
      <c r="I472" t="s">
        <v>187</v>
      </c>
      <c r="J472" t="s">
        <v>188</v>
      </c>
      <c r="K472" t="s">
        <v>223</v>
      </c>
      <c r="Y472" t="str">
        <f>"2021-08-24T00:00:00"</f>
        <v>2021-08-24T00:00:00</v>
      </c>
      <c r="Z472" t="str">
        <f>"29"</f>
        <v>29</v>
      </c>
      <c r="AA472" t="s">
        <v>835</v>
      </c>
      <c r="AC472" t="s">
        <v>191</v>
      </c>
      <c r="AD472" t="s">
        <v>899</v>
      </c>
      <c r="AE472" t="s">
        <v>413</v>
      </c>
      <c r="AF472" t="s">
        <v>194</v>
      </c>
      <c r="AH472" t="s">
        <v>195</v>
      </c>
      <c r="AI472">
        <v>1</v>
      </c>
      <c r="AJ472" t="s">
        <v>196</v>
      </c>
      <c r="AK472" t="s">
        <v>194</v>
      </c>
      <c r="AL472" t="s">
        <v>197</v>
      </c>
      <c r="AM472" t="s">
        <v>198</v>
      </c>
      <c r="AR472" t="s">
        <v>194</v>
      </c>
      <c r="AS472" t="s">
        <v>199</v>
      </c>
      <c r="AU472" t="s">
        <v>197</v>
      </c>
      <c r="AZ472" t="s">
        <v>214</v>
      </c>
      <c r="BA472" t="s">
        <v>996</v>
      </c>
      <c r="BB472" t="s">
        <v>201</v>
      </c>
      <c r="BD472" t="s">
        <v>1172</v>
      </c>
      <c r="BE472" t="s">
        <v>900</v>
      </c>
      <c r="BF472" t="s">
        <v>197</v>
      </c>
      <c r="BJ472" t="s">
        <v>205</v>
      </c>
      <c r="BK472" t="s">
        <v>206</v>
      </c>
      <c r="BL472" t="s">
        <v>194</v>
      </c>
      <c r="BQ472" t="s">
        <v>280</v>
      </c>
      <c r="BR472" t="s">
        <v>232</v>
      </c>
      <c r="BT472" t="s">
        <v>197</v>
      </c>
      <c r="BV472" t="s">
        <v>233</v>
      </c>
      <c r="CA472" t="s">
        <v>194</v>
      </c>
      <c r="CB472" t="s">
        <v>214</v>
      </c>
      <c r="CF472" t="s">
        <v>215</v>
      </c>
      <c r="CH472" t="s">
        <v>214</v>
      </c>
      <c r="CI472" t="s">
        <v>214</v>
      </c>
      <c r="CJ472" t="s">
        <v>214</v>
      </c>
      <c r="CP472" t="s">
        <v>214</v>
      </c>
      <c r="CS472" t="s">
        <v>216</v>
      </c>
      <c r="CV472" t="s">
        <v>214</v>
      </c>
      <c r="CW472" t="s">
        <v>214</v>
      </c>
      <c r="CX472" t="s">
        <v>217</v>
      </c>
      <c r="CY472" t="s">
        <v>214</v>
      </c>
      <c r="DA472" t="s">
        <v>218</v>
      </c>
    </row>
    <row r="473" spans="1:105" x14ac:dyDescent="0.3">
      <c r="A473">
        <v>20319345</v>
      </c>
      <c r="B473">
        <v>11729757</v>
      </c>
      <c r="C473" t="str">
        <f>"150813505469"</f>
        <v>150813505469</v>
      </c>
      <c r="D473" t="s">
        <v>1074</v>
      </c>
      <c r="E473" t="s">
        <v>1321</v>
      </c>
      <c r="F473" t="s">
        <v>1322</v>
      </c>
      <c r="G473" s="1">
        <v>42229</v>
      </c>
      <c r="I473" t="s">
        <v>187</v>
      </c>
      <c r="J473" t="s">
        <v>188</v>
      </c>
      <c r="K473" t="s">
        <v>373</v>
      </c>
      <c r="Y473" t="str">
        <f>"2021-08-24T00:00:00"</f>
        <v>2021-08-24T00:00:00</v>
      </c>
      <c r="Z473" t="str">
        <f>"29"</f>
        <v>29</v>
      </c>
      <c r="AA473" t="s">
        <v>835</v>
      </c>
      <c r="AC473" t="s">
        <v>191</v>
      </c>
      <c r="AD473" t="s">
        <v>899</v>
      </c>
      <c r="AE473" t="s">
        <v>413</v>
      </c>
      <c r="AF473" t="s">
        <v>194</v>
      </c>
      <c r="AH473" t="s">
        <v>195</v>
      </c>
      <c r="AI473">
        <v>1</v>
      </c>
      <c r="AJ473" t="s">
        <v>196</v>
      </c>
      <c r="AK473" t="s">
        <v>194</v>
      </c>
      <c r="AL473" t="s">
        <v>197</v>
      </c>
      <c r="AM473" t="s">
        <v>198</v>
      </c>
      <c r="AR473" t="s">
        <v>194</v>
      </c>
      <c r="AS473" t="s">
        <v>199</v>
      </c>
      <c r="AU473" t="s">
        <v>197</v>
      </c>
      <c r="AZ473" t="s">
        <v>214</v>
      </c>
      <c r="BA473" t="s">
        <v>996</v>
      </c>
      <c r="BB473" t="s">
        <v>201</v>
      </c>
      <c r="BD473" t="s">
        <v>1172</v>
      </c>
      <c r="BE473" t="s">
        <v>900</v>
      </c>
      <c r="BF473" t="s">
        <v>197</v>
      </c>
      <c r="BJ473" t="s">
        <v>205</v>
      </c>
      <c r="BK473" t="s">
        <v>206</v>
      </c>
      <c r="BL473" t="s">
        <v>194</v>
      </c>
      <c r="BO473" t="s">
        <v>216</v>
      </c>
      <c r="BP473" t="s">
        <v>216</v>
      </c>
      <c r="BQ473" t="s">
        <v>280</v>
      </c>
      <c r="BR473" t="s">
        <v>232</v>
      </c>
      <c r="BT473" t="s">
        <v>197</v>
      </c>
      <c r="BV473" t="s">
        <v>233</v>
      </c>
      <c r="CA473" t="s">
        <v>194</v>
      </c>
      <c r="CB473" t="s">
        <v>214</v>
      </c>
      <c r="CF473" t="s">
        <v>215</v>
      </c>
      <c r="CH473" t="s">
        <v>214</v>
      </c>
      <c r="CI473" t="s">
        <v>214</v>
      </c>
      <c r="CJ473" t="s">
        <v>214</v>
      </c>
      <c r="CP473" t="s">
        <v>214</v>
      </c>
      <c r="CS473" t="s">
        <v>216</v>
      </c>
      <c r="CV473" t="s">
        <v>214</v>
      </c>
      <c r="CW473" t="s">
        <v>214</v>
      </c>
      <c r="CX473" t="s">
        <v>217</v>
      </c>
      <c r="CY473" t="s">
        <v>214</v>
      </c>
      <c r="DA473" t="s">
        <v>218</v>
      </c>
    </row>
    <row r="474" spans="1:105" x14ac:dyDescent="0.3">
      <c r="A474">
        <v>20185209</v>
      </c>
      <c r="B474">
        <v>934963</v>
      </c>
      <c r="C474" t="str">
        <f>"060310650874"</f>
        <v>060310650874</v>
      </c>
      <c r="D474" t="s">
        <v>1323</v>
      </c>
      <c r="E474" t="s">
        <v>475</v>
      </c>
      <c r="F474" t="s">
        <v>1324</v>
      </c>
      <c r="G474" s="1">
        <v>38786</v>
      </c>
      <c r="I474" t="s">
        <v>222</v>
      </c>
      <c r="J474" t="s">
        <v>188</v>
      </c>
      <c r="K474" t="s">
        <v>189</v>
      </c>
      <c r="Y474" t="str">
        <f>"2021-08-05T00:00:00"</f>
        <v>2021-08-05T00:00:00</v>
      </c>
      <c r="Z474" t="str">
        <f>"24"</f>
        <v>24</v>
      </c>
      <c r="AA474" t="s">
        <v>314</v>
      </c>
      <c r="AB474" t="str">
        <f>"akm_arshalu_novoaleksandrovka@mail.ru"</f>
        <v>akm_arshalu_novoaleksandrovka@mail.ru</v>
      </c>
      <c r="AC474" t="s">
        <v>237</v>
      </c>
      <c r="AD474" t="s">
        <v>1217</v>
      </c>
      <c r="AE474" t="s">
        <v>227</v>
      </c>
      <c r="AF474" t="s">
        <v>194</v>
      </c>
      <c r="AH474" t="s">
        <v>195</v>
      </c>
      <c r="AI474">
        <v>3</v>
      </c>
      <c r="AJ474" t="s">
        <v>196</v>
      </c>
      <c r="AK474" t="s">
        <v>194</v>
      </c>
      <c r="AL474" t="s">
        <v>197</v>
      </c>
      <c r="AM474" t="s">
        <v>198</v>
      </c>
      <c r="AR474" t="s">
        <v>194</v>
      </c>
      <c r="AS474" t="s">
        <v>199</v>
      </c>
      <c r="AU474" t="s">
        <v>197</v>
      </c>
      <c r="AZ474" t="s">
        <v>194</v>
      </c>
      <c r="BA474" t="s">
        <v>200</v>
      </c>
      <c r="BB474" t="s">
        <v>201</v>
      </c>
      <c r="BC474" t="s">
        <v>200</v>
      </c>
      <c r="BE474" t="s">
        <v>202</v>
      </c>
      <c r="BF474" t="s">
        <v>197</v>
      </c>
      <c r="BG474" t="s">
        <v>1325</v>
      </c>
      <c r="BH474" t="s">
        <v>1326</v>
      </c>
      <c r="BJ474" t="s">
        <v>205</v>
      </c>
      <c r="BK474" t="s">
        <v>206</v>
      </c>
      <c r="BL474" t="s">
        <v>214</v>
      </c>
      <c r="BO474" t="s">
        <v>200</v>
      </c>
      <c r="BP474" t="s">
        <v>200</v>
      </c>
      <c r="BR474" t="s">
        <v>1218</v>
      </c>
      <c r="BS474" t="s">
        <v>208</v>
      </c>
      <c r="BT474" t="s">
        <v>197</v>
      </c>
      <c r="BV474" t="s">
        <v>233</v>
      </c>
      <c r="CA474" t="s">
        <v>194</v>
      </c>
      <c r="CB474" t="s">
        <v>214</v>
      </c>
      <c r="CF474" t="s">
        <v>215</v>
      </c>
      <c r="CH474" t="s">
        <v>214</v>
      </c>
      <c r="CI474" t="s">
        <v>214</v>
      </c>
      <c r="CJ474" t="s">
        <v>214</v>
      </c>
      <c r="CP474" t="s">
        <v>214</v>
      </c>
      <c r="CS474" t="s">
        <v>216</v>
      </c>
      <c r="CV474" t="s">
        <v>214</v>
      </c>
      <c r="CW474" t="s">
        <v>214</v>
      </c>
      <c r="CX474" t="s">
        <v>217</v>
      </c>
      <c r="CY474" t="s">
        <v>214</v>
      </c>
      <c r="DA474" t="s">
        <v>218</v>
      </c>
    </row>
    <row r="475" spans="1:105" x14ac:dyDescent="0.3">
      <c r="A475">
        <v>20195712</v>
      </c>
      <c r="B475">
        <v>2671632</v>
      </c>
      <c r="C475" t="str">
        <f>"111013503559"</f>
        <v>111013503559</v>
      </c>
      <c r="D475" t="s">
        <v>1241</v>
      </c>
      <c r="E475" t="s">
        <v>888</v>
      </c>
      <c r="F475" t="s">
        <v>297</v>
      </c>
      <c r="G475" s="1">
        <v>40829</v>
      </c>
      <c r="I475" t="s">
        <v>187</v>
      </c>
      <c r="J475" t="s">
        <v>188</v>
      </c>
      <c r="K475" t="s">
        <v>223</v>
      </c>
      <c r="Y475" t="str">
        <f>"2021-09-01T00:00:00"</f>
        <v>2021-09-01T00:00:00</v>
      </c>
      <c r="Z475" t="str">
        <f>"33"</f>
        <v>33</v>
      </c>
      <c r="AA475" t="s">
        <v>835</v>
      </c>
      <c r="AC475" t="s">
        <v>191</v>
      </c>
      <c r="AD475" t="s">
        <v>815</v>
      </c>
      <c r="AE475" t="s">
        <v>193</v>
      </c>
      <c r="AF475" t="s">
        <v>194</v>
      </c>
      <c r="AH475" t="s">
        <v>195</v>
      </c>
      <c r="AI475">
        <v>2</v>
      </c>
      <c r="AJ475" t="s">
        <v>196</v>
      </c>
      <c r="AK475" t="s">
        <v>194</v>
      </c>
      <c r="AL475" t="s">
        <v>197</v>
      </c>
      <c r="AM475" t="s">
        <v>198</v>
      </c>
      <c r="AR475" t="s">
        <v>194</v>
      </c>
      <c r="AS475" t="s">
        <v>199</v>
      </c>
      <c r="AU475" t="s">
        <v>197</v>
      </c>
      <c r="AZ475" t="s">
        <v>214</v>
      </c>
      <c r="BA475" t="s">
        <v>996</v>
      </c>
      <c r="BB475" t="s">
        <v>201</v>
      </c>
      <c r="BD475" t="s">
        <v>1172</v>
      </c>
      <c r="BE475" t="s">
        <v>229</v>
      </c>
      <c r="BF475" t="s">
        <v>197</v>
      </c>
      <c r="BG475" t="s">
        <v>230</v>
      </c>
      <c r="BH475" t="s">
        <v>231</v>
      </c>
      <c r="BJ475" t="s">
        <v>205</v>
      </c>
      <c r="BK475" t="s">
        <v>206</v>
      </c>
      <c r="BL475" t="s">
        <v>194</v>
      </c>
      <c r="BQ475" t="s">
        <v>286</v>
      </c>
      <c r="BR475" t="s">
        <v>232</v>
      </c>
      <c r="BT475" t="s">
        <v>197</v>
      </c>
      <c r="BV475" t="s">
        <v>233</v>
      </c>
      <c r="CA475" t="s">
        <v>194</v>
      </c>
      <c r="CB475" t="s">
        <v>214</v>
      </c>
      <c r="CF475" t="s">
        <v>215</v>
      </c>
      <c r="CH475" t="s">
        <v>214</v>
      </c>
      <c r="CI475" t="s">
        <v>214</v>
      </c>
      <c r="CJ475" t="s">
        <v>214</v>
      </c>
      <c r="CP475" t="s">
        <v>214</v>
      </c>
      <c r="CS475" t="s">
        <v>216</v>
      </c>
      <c r="CV475" t="s">
        <v>214</v>
      </c>
      <c r="CW475" t="s">
        <v>214</v>
      </c>
      <c r="CX475" t="s">
        <v>217</v>
      </c>
      <c r="CY475" t="s">
        <v>214</v>
      </c>
      <c r="DA475" t="s">
        <v>218</v>
      </c>
    </row>
    <row r="476" spans="1:105" x14ac:dyDescent="0.3">
      <c r="A476">
        <v>20311562</v>
      </c>
      <c r="B476">
        <v>6107313</v>
      </c>
      <c r="C476" t="str">
        <f>"070514651704"</f>
        <v>070514651704</v>
      </c>
      <c r="D476" t="s">
        <v>1327</v>
      </c>
      <c r="E476" t="s">
        <v>1328</v>
      </c>
      <c r="F476" t="s">
        <v>1280</v>
      </c>
      <c r="G476" s="1">
        <v>39216</v>
      </c>
      <c r="I476" t="s">
        <v>222</v>
      </c>
      <c r="J476" t="s">
        <v>188</v>
      </c>
      <c r="K476" t="s">
        <v>382</v>
      </c>
      <c r="Y476" t="str">
        <f>"2021-08-27T00:00:00"</f>
        <v>2021-08-27T00:00:00</v>
      </c>
      <c r="Z476" t="str">
        <f>"30"</f>
        <v>30</v>
      </c>
      <c r="AA476" t="s">
        <v>835</v>
      </c>
      <c r="AB476" t="str">
        <f>"22_school.astana@mail.ru"</f>
        <v>22_school.astana@mail.ru</v>
      </c>
      <c r="AC476" t="s">
        <v>255</v>
      </c>
      <c r="AD476" t="s">
        <v>192</v>
      </c>
      <c r="AE476" t="s">
        <v>227</v>
      </c>
      <c r="AF476" t="s">
        <v>194</v>
      </c>
      <c r="AH476" t="s">
        <v>195</v>
      </c>
      <c r="AI476">
        <v>3</v>
      </c>
      <c r="AJ476" t="s">
        <v>196</v>
      </c>
      <c r="AK476" t="s">
        <v>194</v>
      </c>
      <c r="AL476" t="s">
        <v>197</v>
      </c>
      <c r="AM476" t="s">
        <v>198</v>
      </c>
      <c r="AR476" t="s">
        <v>194</v>
      </c>
      <c r="AS476" t="s">
        <v>199</v>
      </c>
      <c r="AU476" t="s">
        <v>197</v>
      </c>
      <c r="AZ476" t="s">
        <v>214</v>
      </c>
      <c r="BA476" t="s">
        <v>996</v>
      </c>
      <c r="BB476" t="s">
        <v>201</v>
      </c>
      <c r="BD476" t="s">
        <v>1172</v>
      </c>
      <c r="BE476" t="s">
        <v>202</v>
      </c>
      <c r="BF476" t="s">
        <v>197</v>
      </c>
      <c r="BG476" t="s">
        <v>290</v>
      </c>
      <c r="BH476" t="s">
        <v>395</v>
      </c>
      <c r="BJ476" t="s">
        <v>205</v>
      </c>
      <c r="BK476" t="s">
        <v>206</v>
      </c>
      <c r="BL476" t="s">
        <v>194</v>
      </c>
      <c r="BO476" t="s">
        <v>216</v>
      </c>
      <c r="BP476" t="s">
        <v>216</v>
      </c>
      <c r="BR476" t="s">
        <v>232</v>
      </c>
      <c r="BT476" t="s">
        <v>1204</v>
      </c>
      <c r="BU476" t="s">
        <v>1205</v>
      </c>
      <c r="BV476" t="s">
        <v>233</v>
      </c>
      <c r="CA476" t="s">
        <v>194</v>
      </c>
      <c r="CB476" t="s">
        <v>214</v>
      </c>
      <c r="CF476" t="s">
        <v>215</v>
      </c>
      <c r="CH476" t="s">
        <v>214</v>
      </c>
      <c r="CI476" t="s">
        <v>214</v>
      </c>
      <c r="CJ476" t="s">
        <v>214</v>
      </c>
      <c r="CP476" t="s">
        <v>214</v>
      </c>
      <c r="CS476" t="s">
        <v>216</v>
      </c>
      <c r="CV476" t="s">
        <v>214</v>
      </c>
      <c r="CW476" t="s">
        <v>214</v>
      </c>
      <c r="CX476" t="s">
        <v>217</v>
      </c>
      <c r="CY476" t="s">
        <v>214</v>
      </c>
      <c r="DA476" t="s">
        <v>218</v>
      </c>
    </row>
    <row r="477" spans="1:105" x14ac:dyDescent="0.3">
      <c r="A477">
        <v>20314603</v>
      </c>
      <c r="B477">
        <v>11728989</v>
      </c>
      <c r="C477" t="str">
        <f>"140426603771"</f>
        <v>140426603771</v>
      </c>
      <c r="D477" t="s">
        <v>430</v>
      </c>
      <c r="E477" t="s">
        <v>844</v>
      </c>
      <c r="F477" t="s">
        <v>379</v>
      </c>
      <c r="G477" s="1">
        <v>41755</v>
      </c>
      <c r="I477" t="s">
        <v>222</v>
      </c>
      <c r="J477" t="s">
        <v>188</v>
      </c>
      <c r="K477" t="s">
        <v>260</v>
      </c>
      <c r="Y477" t="str">
        <f>"2021-08-24T00:00:00"</f>
        <v>2021-08-24T00:00:00</v>
      </c>
      <c r="Z477" t="str">
        <f>"29"</f>
        <v>29</v>
      </c>
      <c r="AA477" t="s">
        <v>224</v>
      </c>
      <c r="AC477" t="s">
        <v>237</v>
      </c>
      <c r="AD477" t="s">
        <v>899</v>
      </c>
      <c r="AE477" t="s">
        <v>227</v>
      </c>
      <c r="AF477" t="s">
        <v>194</v>
      </c>
      <c r="AH477" t="s">
        <v>195</v>
      </c>
      <c r="AI477">
        <v>1</v>
      </c>
      <c r="AJ477" t="s">
        <v>196</v>
      </c>
      <c r="AK477" t="s">
        <v>194</v>
      </c>
      <c r="AL477" t="s">
        <v>197</v>
      </c>
      <c r="AM477" t="s">
        <v>198</v>
      </c>
      <c r="AR477" t="s">
        <v>194</v>
      </c>
      <c r="AS477" t="s">
        <v>199</v>
      </c>
      <c r="AU477" t="s">
        <v>197</v>
      </c>
      <c r="AZ477" t="s">
        <v>214</v>
      </c>
      <c r="BA477" t="s">
        <v>996</v>
      </c>
      <c r="BB477" t="s">
        <v>201</v>
      </c>
      <c r="BD477" t="s">
        <v>1172</v>
      </c>
      <c r="BE477" t="s">
        <v>900</v>
      </c>
      <c r="BF477" t="s">
        <v>197</v>
      </c>
      <c r="BJ477" t="s">
        <v>205</v>
      </c>
      <c r="BK477" t="s">
        <v>206</v>
      </c>
      <c r="BL477" t="s">
        <v>194</v>
      </c>
      <c r="BO477" t="s">
        <v>216</v>
      </c>
      <c r="BP477" t="s">
        <v>216</v>
      </c>
      <c r="BQ477" t="s">
        <v>280</v>
      </c>
      <c r="BR477" t="s">
        <v>232</v>
      </c>
      <c r="BT477" t="s">
        <v>197</v>
      </c>
      <c r="BV477" t="s">
        <v>233</v>
      </c>
      <c r="CA477" t="s">
        <v>194</v>
      </c>
      <c r="CB477" t="s">
        <v>214</v>
      </c>
      <c r="CF477" t="s">
        <v>215</v>
      </c>
      <c r="CH477" t="s">
        <v>214</v>
      </c>
      <c r="CI477" t="s">
        <v>214</v>
      </c>
      <c r="CJ477" t="s">
        <v>214</v>
      </c>
      <c r="CP477" t="s">
        <v>214</v>
      </c>
      <c r="CS477" t="s">
        <v>216</v>
      </c>
      <c r="CV477" t="s">
        <v>214</v>
      </c>
      <c r="CW477" t="s">
        <v>214</v>
      </c>
      <c r="CX477" t="s">
        <v>217</v>
      </c>
      <c r="CY477" t="s">
        <v>214</v>
      </c>
      <c r="DA477" t="s">
        <v>218</v>
      </c>
    </row>
    <row r="478" spans="1:105" x14ac:dyDescent="0.3">
      <c r="A478">
        <v>20651249</v>
      </c>
      <c r="B478">
        <v>621452</v>
      </c>
      <c r="C478" t="str">
        <f>"150606502350"</f>
        <v>150606502350</v>
      </c>
      <c r="D478" t="s">
        <v>1329</v>
      </c>
      <c r="E478" t="s">
        <v>1330</v>
      </c>
      <c r="F478" t="s">
        <v>313</v>
      </c>
      <c r="G478" s="1">
        <v>42161</v>
      </c>
      <c r="I478" t="s">
        <v>187</v>
      </c>
      <c r="J478" t="s">
        <v>188</v>
      </c>
      <c r="K478" t="s">
        <v>189</v>
      </c>
      <c r="Y478" t="str">
        <f>"2021-08-27T00:00:00"</f>
        <v>2021-08-27T00:00:00</v>
      </c>
      <c r="Z478" t="str">
        <f>"30"</f>
        <v>30</v>
      </c>
      <c r="AA478" t="s">
        <v>835</v>
      </c>
      <c r="AC478" t="s">
        <v>191</v>
      </c>
      <c r="AD478" t="s">
        <v>899</v>
      </c>
      <c r="AE478" t="s">
        <v>413</v>
      </c>
      <c r="AF478" t="s">
        <v>194</v>
      </c>
      <c r="AH478" t="s">
        <v>195</v>
      </c>
      <c r="AI478">
        <v>1</v>
      </c>
      <c r="AJ478" t="s">
        <v>196</v>
      </c>
      <c r="AK478" t="s">
        <v>194</v>
      </c>
      <c r="AL478" t="s">
        <v>197</v>
      </c>
      <c r="AM478" t="s">
        <v>198</v>
      </c>
      <c r="AR478" t="s">
        <v>194</v>
      </c>
      <c r="AS478" t="s">
        <v>199</v>
      </c>
      <c r="AU478" t="s">
        <v>197</v>
      </c>
      <c r="AZ478" t="s">
        <v>214</v>
      </c>
      <c r="BA478" t="s">
        <v>996</v>
      </c>
      <c r="BB478" t="s">
        <v>201</v>
      </c>
      <c r="BD478" t="s">
        <v>1172</v>
      </c>
      <c r="BE478" t="s">
        <v>900</v>
      </c>
      <c r="BF478" t="s">
        <v>197</v>
      </c>
      <c r="BJ478" t="s">
        <v>205</v>
      </c>
      <c r="BK478" t="s">
        <v>206</v>
      </c>
      <c r="BL478" t="s">
        <v>194</v>
      </c>
      <c r="BQ478" t="s">
        <v>280</v>
      </c>
      <c r="BR478" t="s">
        <v>232</v>
      </c>
      <c r="BT478" t="s">
        <v>197</v>
      </c>
      <c r="BV478" t="s">
        <v>233</v>
      </c>
      <c r="CA478" t="s">
        <v>194</v>
      </c>
      <c r="CB478" t="s">
        <v>214</v>
      </c>
      <c r="CF478" t="s">
        <v>215</v>
      </c>
      <c r="CH478" t="s">
        <v>214</v>
      </c>
      <c r="CI478" t="s">
        <v>214</v>
      </c>
      <c r="CJ478" t="s">
        <v>214</v>
      </c>
      <c r="CP478" t="s">
        <v>214</v>
      </c>
      <c r="CS478" t="s">
        <v>216</v>
      </c>
      <c r="CV478" t="s">
        <v>214</v>
      </c>
      <c r="CW478" t="s">
        <v>214</v>
      </c>
      <c r="CX478" t="s">
        <v>217</v>
      </c>
      <c r="CY478" t="s">
        <v>214</v>
      </c>
      <c r="DA478" t="s">
        <v>218</v>
      </c>
    </row>
    <row r="479" spans="1:105" x14ac:dyDescent="0.3">
      <c r="A479">
        <v>20651468</v>
      </c>
      <c r="B479">
        <v>621402</v>
      </c>
      <c r="C479" t="str">
        <f>"150606502340"</f>
        <v>150606502340</v>
      </c>
      <c r="D479" t="s">
        <v>1329</v>
      </c>
      <c r="E479" t="s">
        <v>847</v>
      </c>
      <c r="F479" t="s">
        <v>313</v>
      </c>
      <c r="G479" s="1">
        <v>42161</v>
      </c>
      <c r="I479" t="s">
        <v>187</v>
      </c>
      <c r="J479" t="s">
        <v>188</v>
      </c>
      <c r="K479" t="s">
        <v>189</v>
      </c>
      <c r="Y479" t="str">
        <f>"2021-08-27T00:00:00"</f>
        <v>2021-08-27T00:00:00</v>
      </c>
      <c r="Z479" t="str">
        <f>"30"</f>
        <v>30</v>
      </c>
      <c r="AA479" t="s">
        <v>835</v>
      </c>
      <c r="AC479" t="s">
        <v>191</v>
      </c>
      <c r="AD479" t="s">
        <v>899</v>
      </c>
      <c r="AE479" t="s">
        <v>413</v>
      </c>
      <c r="AF479" t="s">
        <v>194</v>
      </c>
      <c r="AH479" t="s">
        <v>195</v>
      </c>
      <c r="AI479">
        <v>1</v>
      </c>
      <c r="AJ479" t="s">
        <v>196</v>
      </c>
      <c r="AK479" t="s">
        <v>194</v>
      </c>
      <c r="AL479" t="s">
        <v>197</v>
      </c>
      <c r="AM479" t="s">
        <v>198</v>
      </c>
      <c r="AR479" t="s">
        <v>194</v>
      </c>
      <c r="AS479" t="s">
        <v>199</v>
      </c>
      <c r="AU479" t="s">
        <v>197</v>
      </c>
      <c r="AZ479" t="s">
        <v>214</v>
      </c>
      <c r="BA479" t="s">
        <v>996</v>
      </c>
      <c r="BB479" t="s">
        <v>201</v>
      </c>
      <c r="BD479" t="s">
        <v>1172</v>
      </c>
      <c r="BE479" t="s">
        <v>900</v>
      </c>
      <c r="BF479" t="s">
        <v>197</v>
      </c>
      <c r="BJ479" t="s">
        <v>205</v>
      </c>
      <c r="BK479" t="s">
        <v>206</v>
      </c>
      <c r="BL479" t="s">
        <v>194</v>
      </c>
      <c r="BQ479" t="s">
        <v>280</v>
      </c>
      <c r="BR479" t="s">
        <v>232</v>
      </c>
      <c r="BT479" t="s">
        <v>197</v>
      </c>
      <c r="BV479" t="s">
        <v>233</v>
      </c>
      <c r="CA479" t="s">
        <v>194</v>
      </c>
      <c r="CB479" t="s">
        <v>214</v>
      </c>
      <c r="CF479" t="s">
        <v>215</v>
      </c>
      <c r="CH479" t="s">
        <v>214</v>
      </c>
      <c r="CI479" t="s">
        <v>214</v>
      </c>
      <c r="CJ479" t="s">
        <v>214</v>
      </c>
      <c r="CP479" t="s">
        <v>214</v>
      </c>
      <c r="CS479" t="s">
        <v>216</v>
      </c>
      <c r="CV479" t="s">
        <v>214</v>
      </c>
      <c r="CW479" t="s">
        <v>214</v>
      </c>
      <c r="CX479" t="s">
        <v>217</v>
      </c>
      <c r="CY479" t="s">
        <v>214</v>
      </c>
      <c r="DA479" t="s">
        <v>218</v>
      </c>
    </row>
    <row r="480" spans="1:105" x14ac:dyDescent="0.3">
      <c r="A480">
        <v>20666815</v>
      </c>
      <c r="B480">
        <v>11859377</v>
      </c>
      <c r="D480" t="s">
        <v>1331</v>
      </c>
      <c r="E480" t="s">
        <v>1332</v>
      </c>
      <c r="F480" t="s">
        <v>1333</v>
      </c>
      <c r="G480" s="1">
        <v>41183</v>
      </c>
      <c r="H480" t="s">
        <v>1307</v>
      </c>
      <c r="I480" t="s">
        <v>187</v>
      </c>
      <c r="J480" t="s">
        <v>337</v>
      </c>
      <c r="K480" t="s">
        <v>772</v>
      </c>
      <c r="L480" t="s">
        <v>214</v>
      </c>
      <c r="M480" t="str">
        <f>"0361832"</f>
        <v>0361832</v>
      </c>
      <c r="N480" t="str">
        <f>"2012-10-04T00:00:00"</f>
        <v>2012-10-04T00:00:00</v>
      </c>
      <c r="O480" t="str">
        <f>"{}"</f>
        <v>{}</v>
      </c>
      <c r="P480" t="str">
        <f>"{}"</f>
        <v>{}</v>
      </c>
      <c r="Y480" t="str">
        <f>"2021-09-01T00:00:00"</f>
        <v>2021-09-01T00:00:00</v>
      </c>
      <c r="Z480" t="str">
        <f>"33"</f>
        <v>33</v>
      </c>
      <c r="AA480" t="s">
        <v>835</v>
      </c>
      <c r="AC480" t="s">
        <v>191</v>
      </c>
      <c r="AD480" t="s">
        <v>615</v>
      </c>
      <c r="AE480" t="s">
        <v>227</v>
      </c>
      <c r="AF480" t="s">
        <v>194</v>
      </c>
      <c r="AH480" t="s">
        <v>195</v>
      </c>
      <c r="AI480">
        <v>2</v>
      </c>
      <c r="AJ480" t="s">
        <v>196</v>
      </c>
      <c r="AK480" t="s">
        <v>194</v>
      </c>
      <c r="AL480" t="s">
        <v>197</v>
      </c>
      <c r="AM480" t="s">
        <v>198</v>
      </c>
      <c r="AR480" t="s">
        <v>194</v>
      </c>
      <c r="AS480" t="s">
        <v>199</v>
      </c>
      <c r="AU480" t="s">
        <v>197</v>
      </c>
      <c r="AZ480" t="s">
        <v>214</v>
      </c>
      <c r="BA480" t="s">
        <v>996</v>
      </c>
      <c r="BB480" t="s">
        <v>201</v>
      </c>
      <c r="BD480" t="s">
        <v>1172</v>
      </c>
      <c r="BE480" t="s">
        <v>202</v>
      </c>
      <c r="BF480" t="s">
        <v>197</v>
      </c>
      <c r="BG480" t="s">
        <v>230</v>
      </c>
      <c r="BH480" t="s">
        <v>420</v>
      </c>
      <c r="BJ480" t="s">
        <v>205</v>
      </c>
      <c r="BK480" t="s">
        <v>206</v>
      </c>
      <c r="BL480" t="s">
        <v>194</v>
      </c>
      <c r="BO480" t="s">
        <v>216</v>
      </c>
      <c r="BP480" t="s">
        <v>216</v>
      </c>
      <c r="BQ480" t="s">
        <v>731</v>
      </c>
      <c r="BR480" t="s">
        <v>232</v>
      </c>
      <c r="BT480" t="s">
        <v>197</v>
      </c>
      <c r="BV480" t="s">
        <v>233</v>
      </c>
      <c r="CA480" t="s">
        <v>194</v>
      </c>
      <c r="CB480" t="s">
        <v>214</v>
      </c>
      <c r="CF480" t="s">
        <v>215</v>
      </c>
      <c r="CH480" t="s">
        <v>214</v>
      </c>
      <c r="CI480" t="s">
        <v>214</v>
      </c>
      <c r="CJ480" t="s">
        <v>214</v>
      </c>
      <c r="CP480" t="s">
        <v>214</v>
      </c>
      <c r="CS480" t="s">
        <v>216</v>
      </c>
      <c r="CV480" t="s">
        <v>214</v>
      </c>
      <c r="CW480" t="s">
        <v>214</v>
      </c>
      <c r="CX480" t="s">
        <v>217</v>
      </c>
      <c r="CY480" t="s">
        <v>214</v>
      </c>
      <c r="DA480" t="s">
        <v>218</v>
      </c>
    </row>
    <row r="481" spans="1:105" x14ac:dyDescent="0.3">
      <c r="A481">
        <v>20736316</v>
      </c>
      <c r="B481">
        <v>4592119</v>
      </c>
      <c r="C481" t="str">
        <f>"140522501403"</f>
        <v>140522501403</v>
      </c>
      <c r="D481" t="s">
        <v>1334</v>
      </c>
      <c r="E481" t="s">
        <v>1335</v>
      </c>
      <c r="F481" t="s">
        <v>1336</v>
      </c>
      <c r="G481" s="1">
        <v>41781</v>
      </c>
      <c r="I481" t="s">
        <v>187</v>
      </c>
      <c r="J481" t="s">
        <v>188</v>
      </c>
      <c r="K481" t="s">
        <v>382</v>
      </c>
      <c r="Y481" t="str">
        <f>"2021-08-27T00:00:00"</f>
        <v>2021-08-27T00:00:00</v>
      </c>
      <c r="Z481" t="str">
        <f>"30"</f>
        <v>30</v>
      </c>
      <c r="AA481" t="s">
        <v>835</v>
      </c>
      <c r="AC481" t="s">
        <v>191</v>
      </c>
      <c r="AD481" t="s">
        <v>815</v>
      </c>
      <c r="AE481" t="s">
        <v>227</v>
      </c>
      <c r="AF481" t="s">
        <v>194</v>
      </c>
      <c r="AH481" t="s">
        <v>195</v>
      </c>
      <c r="AI481">
        <v>1</v>
      </c>
      <c r="AJ481" t="s">
        <v>196</v>
      </c>
      <c r="AK481" t="s">
        <v>194</v>
      </c>
      <c r="AL481" t="s">
        <v>197</v>
      </c>
      <c r="AM481" t="s">
        <v>198</v>
      </c>
      <c r="AR481" t="s">
        <v>194</v>
      </c>
      <c r="AS481" t="s">
        <v>199</v>
      </c>
      <c r="AU481" t="s">
        <v>197</v>
      </c>
      <c r="AZ481" t="s">
        <v>214</v>
      </c>
      <c r="BA481" t="s">
        <v>996</v>
      </c>
      <c r="BB481" t="s">
        <v>201</v>
      </c>
      <c r="BD481" t="s">
        <v>1172</v>
      </c>
      <c r="BE481" t="s">
        <v>229</v>
      </c>
      <c r="BF481" t="s">
        <v>197</v>
      </c>
      <c r="BG481" t="s">
        <v>230</v>
      </c>
      <c r="BH481" t="s">
        <v>263</v>
      </c>
      <c r="BJ481" t="s">
        <v>205</v>
      </c>
      <c r="BK481" t="s">
        <v>206</v>
      </c>
      <c r="BL481" t="s">
        <v>194</v>
      </c>
      <c r="BO481" t="s">
        <v>216</v>
      </c>
      <c r="BP481" t="s">
        <v>216</v>
      </c>
      <c r="BQ481" t="s">
        <v>286</v>
      </c>
      <c r="BR481" t="s">
        <v>232</v>
      </c>
      <c r="BT481" t="s">
        <v>197</v>
      </c>
      <c r="BV481" t="s">
        <v>233</v>
      </c>
      <c r="CA481" t="s">
        <v>194</v>
      </c>
      <c r="CB481" t="s">
        <v>214</v>
      </c>
      <c r="CF481" t="s">
        <v>215</v>
      </c>
      <c r="CH481" t="s">
        <v>214</v>
      </c>
      <c r="CI481" t="s">
        <v>214</v>
      </c>
      <c r="CJ481" t="s">
        <v>214</v>
      </c>
      <c r="CP481" t="s">
        <v>214</v>
      </c>
      <c r="CS481" t="s">
        <v>216</v>
      </c>
      <c r="CV481" t="s">
        <v>214</v>
      </c>
      <c r="CW481" t="s">
        <v>214</v>
      </c>
      <c r="CX481" t="s">
        <v>217</v>
      </c>
      <c r="CY481" t="s">
        <v>214</v>
      </c>
      <c r="DA481" t="s">
        <v>218</v>
      </c>
    </row>
    <row r="482" spans="1:105" x14ac:dyDescent="0.3">
      <c r="A482">
        <v>20793521</v>
      </c>
      <c r="B482">
        <v>6187838</v>
      </c>
      <c r="C482" t="str">
        <f>"110126504787"</f>
        <v>110126504787</v>
      </c>
      <c r="D482" t="s">
        <v>1337</v>
      </c>
      <c r="E482" t="s">
        <v>185</v>
      </c>
      <c r="F482" t="s">
        <v>1338</v>
      </c>
      <c r="G482" s="1">
        <v>40569</v>
      </c>
      <c r="I482" t="s">
        <v>187</v>
      </c>
      <c r="J482" t="s">
        <v>188</v>
      </c>
      <c r="K482" t="s">
        <v>189</v>
      </c>
      <c r="Y482" t="str">
        <f>"2021-09-08T00:00:00"</f>
        <v>2021-09-08T00:00:00</v>
      </c>
      <c r="Z482" t="str">
        <f>"36"</f>
        <v>36</v>
      </c>
      <c r="AA482" t="s">
        <v>835</v>
      </c>
      <c r="AC482" t="s">
        <v>237</v>
      </c>
      <c r="AD482" t="s">
        <v>285</v>
      </c>
      <c r="AE482" t="s">
        <v>243</v>
      </c>
      <c r="AF482" t="s">
        <v>194</v>
      </c>
      <c r="AH482" t="s">
        <v>195</v>
      </c>
      <c r="AI482">
        <v>1</v>
      </c>
      <c r="AJ482" t="s">
        <v>196</v>
      </c>
      <c r="AK482" t="s">
        <v>194</v>
      </c>
      <c r="AL482" t="s">
        <v>197</v>
      </c>
      <c r="AM482" t="s">
        <v>198</v>
      </c>
      <c r="AR482" t="s">
        <v>194</v>
      </c>
      <c r="AS482" t="s">
        <v>199</v>
      </c>
      <c r="AU482" t="s">
        <v>197</v>
      </c>
      <c r="AZ482" t="s">
        <v>214</v>
      </c>
      <c r="BA482" t="s">
        <v>996</v>
      </c>
      <c r="BB482" t="s">
        <v>201</v>
      </c>
      <c r="BD482" t="s">
        <v>1172</v>
      </c>
      <c r="BE482" t="s">
        <v>202</v>
      </c>
      <c r="BF482" t="s">
        <v>197</v>
      </c>
      <c r="BG482" t="s">
        <v>230</v>
      </c>
      <c r="BH482" t="s">
        <v>400</v>
      </c>
      <c r="BJ482" t="s">
        <v>205</v>
      </c>
      <c r="BK482" t="s">
        <v>206</v>
      </c>
      <c r="BL482" t="s">
        <v>194</v>
      </c>
      <c r="BQ482" t="s">
        <v>1125</v>
      </c>
      <c r="BR482" t="s">
        <v>232</v>
      </c>
      <c r="BT482" t="s">
        <v>197</v>
      </c>
      <c r="BV482" t="s">
        <v>233</v>
      </c>
      <c r="CA482" t="s">
        <v>194</v>
      </c>
      <c r="CB482" t="s">
        <v>214</v>
      </c>
      <c r="CF482" t="s">
        <v>215</v>
      </c>
      <c r="CH482" t="s">
        <v>214</v>
      </c>
      <c r="CI482" t="s">
        <v>214</v>
      </c>
      <c r="CJ482" t="s">
        <v>214</v>
      </c>
      <c r="CP482" t="s">
        <v>214</v>
      </c>
      <c r="CS482" t="s">
        <v>216</v>
      </c>
      <c r="CV482" t="s">
        <v>214</v>
      </c>
      <c r="CW482" t="s">
        <v>214</v>
      </c>
      <c r="CX482" t="s">
        <v>217</v>
      </c>
      <c r="CY482" t="s">
        <v>214</v>
      </c>
      <c r="DA482" t="s">
        <v>218</v>
      </c>
    </row>
    <row r="483" spans="1:105" x14ac:dyDescent="0.3">
      <c r="A483">
        <v>20850626</v>
      </c>
      <c r="B483">
        <v>955491</v>
      </c>
      <c r="C483" t="str">
        <f>"151029504452"</f>
        <v>151029504452</v>
      </c>
      <c r="D483" t="s">
        <v>1339</v>
      </c>
      <c r="E483" t="s">
        <v>1340</v>
      </c>
      <c r="F483" t="s">
        <v>1102</v>
      </c>
      <c r="G483" s="1">
        <v>42306</v>
      </c>
      <c r="I483" t="s">
        <v>187</v>
      </c>
      <c r="J483" t="s">
        <v>188</v>
      </c>
      <c r="K483" t="s">
        <v>189</v>
      </c>
      <c r="Y483" t="str">
        <f>"2021-09-08T00:00:00"</f>
        <v>2021-09-08T00:00:00</v>
      </c>
      <c r="Z483" t="str">
        <f>"36"</f>
        <v>36</v>
      </c>
      <c r="AA483" t="s">
        <v>835</v>
      </c>
      <c r="AC483" t="s">
        <v>191</v>
      </c>
      <c r="AD483" t="s">
        <v>899</v>
      </c>
      <c r="AE483" t="s">
        <v>243</v>
      </c>
      <c r="AF483" t="s">
        <v>194</v>
      </c>
      <c r="AH483" t="s">
        <v>195</v>
      </c>
      <c r="AI483">
        <v>1</v>
      </c>
      <c r="AJ483" t="s">
        <v>196</v>
      </c>
      <c r="AK483" t="s">
        <v>194</v>
      </c>
      <c r="AL483" t="s">
        <v>197</v>
      </c>
      <c r="AM483" t="s">
        <v>198</v>
      </c>
      <c r="AR483" t="s">
        <v>194</v>
      </c>
      <c r="AS483" t="s">
        <v>199</v>
      </c>
      <c r="AU483" t="s">
        <v>197</v>
      </c>
      <c r="AZ483" t="s">
        <v>214</v>
      </c>
      <c r="BA483" t="s">
        <v>996</v>
      </c>
      <c r="BB483" t="s">
        <v>201</v>
      </c>
      <c r="BD483" t="s">
        <v>1172</v>
      </c>
      <c r="BE483" t="s">
        <v>900</v>
      </c>
      <c r="BF483" t="s">
        <v>197</v>
      </c>
      <c r="BJ483" t="s">
        <v>205</v>
      </c>
      <c r="BK483" t="s">
        <v>206</v>
      </c>
      <c r="BL483" t="s">
        <v>194</v>
      </c>
      <c r="BQ483" t="s">
        <v>280</v>
      </c>
      <c r="BR483" t="s">
        <v>232</v>
      </c>
      <c r="BT483" t="s">
        <v>197</v>
      </c>
      <c r="BV483" t="s">
        <v>233</v>
      </c>
      <c r="CA483" t="s">
        <v>194</v>
      </c>
      <c r="CB483" t="s">
        <v>214</v>
      </c>
      <c r="CF483" t="s">
        <v>215</v>
      </c>
      <c r="CH483" t="s">
        <v>214</v>
      </c>
      <c r="CI483" t="s">
        <v>214</v>
      </c>
      <c r="CJ483" t="s">
        <v>214</v>
      </c>
      <c r="CP483" t="s">
        <v>214</v>
      </c>
      <c r="CS483" t="s">
        <v>216</v>
      </c>
      <c r="CV483" t="s">
        <v>214</v>
      </c>
      <c r="CW483" t="s">
        <v>214</v>
      </c>
      <c r="CX483" t="s">
        <v>217</v>
      </c>
      <c r="CY483" t="s">
        <v>214</v>
      </c>
      <c r="DA483" t="s">
        <v>218</v>
      </c>
    </row>
    <row r="484" spans="1:105" x14ac:dyDescent="0.3">
      <c r="A484">
        <v>20315062</v>
      </c>
      <c r="B484">
        <v>622124</v>
      </c>
      <c r="C484" t="str">
        <f>"140930601715"</f>
        <v>140930601715</v>
      </c>
      <c r="D484" t="s">
        <v>851</v>
      </c>
      <c r="E484" t="s">
        <v>235</v>
      </c>
      <c r="F484" t="s">
        <v>365</v>
      </c>
      <c r="G484" s="1">
        <v>41912</v>
      </c>
      <c r="I484" t="s">
        <v>222</v>
      </c>
      <c r="J484" t="s">
        <v>188</v>
      </c>
      <c r="K484" t="s">
        <v>223</v>
      </c>
      <c r="Y484" t="str">
        <f>"2021-08-24T00:00:00"</f>
        <v>2021-08-24T00:00:00</v>
      </c>
      <c r="Z484" t="str">
        <f>"29"</f>
        <v>29</v>
      </c>
      <c r="AA484" t="s">
        <v>224</v>
      </c>
      <c r="AC484" t="s">
        <v>225</v>
      </c>
      <c r="AD484" t="s">
        <v>899</v>
      </c>
      <c r="AE484" t="s">
        <v>227</v>
      </c>
      <c r="AF484" t="s">
        <v>194</v>
      </c>
      <c r="AH484" t="s">
        <v>195</v>
      </c>
      <c r="AI484">
        <v>1</v>
      </c>
      <c r="AJ484" t="s">
        <v>196</v>
      </c>
      <c r="AK484" t="s">
        <v>194</v>
      </c>
      <c r="AL484" t="s">
        <v>197</v>
      </c>
      <c r="AM484" t="s">
        <v>198</v>
      </c>
      <c r="AR484" t="s">
        <v>194</v>
      </c>
      <c r="AS484" t="s">
        <v>199</v>
      </c>
      <c r="AU484" t="s">
        <v>197</v>
      </c>
      <c r="AZ484" t="s">
        <v>214</v>
      </c>
      <c r="BA484" t="s">
        <v>996</v>
      </c>
      <c r="BB484" t="s">
        <v>201</v>
      </c>
      <c r="BD484" t="s">
        <v>1172</v>
      </c>
      <c r="BE484" t="s">
        <v>900</v>
      </c>
      <c r="BF484" t="s">
        <v>197</v>
      </c>
      <c r="BJ484" t="s">
        <v>205</v>
      </c>
      <c r="BK484" t="s">
        <v>206</v>
      </c>
      <c r="BL484" t="s">
        <v>194</v>
      </c>
      <c r="BQ484" t="s">
        <v>280</v>
      </c>
      <c r="BR484" t="s">
        <v>232</v>
      </c>
      <c r="BT484" t="s">
        <v>197</v>
      </c>
      <c r="BV484" t="s">
        <v>233</v>
      </c>
      <c r="CA484" t="s">
        <v>194</v>
      </c>
      <c r="CB484" t="s">
        <v>214</v>
      </c>
      <c r="CF484" t="s">
        <v>215</v>
      </c>
      <c r="CH484" t="s">
        <v>214</v>
      </c>
      <c r="CI484" t="s">
        <v>214</v>
      </c>
      <c r="CJ484" t="s">
        <v>214</v>
      </c>
      <c r="CP484" t="s">
        <v>214</v>
      </c>
      <c r="CS484" t="s">
        <v>216</v>
      </c>
      <c r="CV484" t="s">
        <v>214</v>
      </c>
      <c r="CW484" t="s">
        <v>214</v>
      </c>
      <c r="CX484" t="s">
        <v>217</v>
      </c>
      <c r="CY484" t="s">
        <v>214</v>
      </c>
      <c r="DA484" t="s">
        <v>218</v>
      </c>
    </row>
    <row r="485" spans="1:105" x14ac:dyDescent="0.3">
      <c r="A485">
        <v>21071826</v>
      </c>
      <c r="B485">
        <v>934461</v>
      </c>
      <c r="C485" t="str">
        <f>"110401000083"</f>
        <v>110401000083</v>
      </c>
      <c r="D485" t="s">
        <v>335</v>
      </c>
      <c r="E485" t="s">
        <v>385</v>
      </c>
      <c r="F485" t="s">
        <v>323</v>
      </c>
      <c r="G485" s="1">
        <v>40634</v>
      </c>
      <c r="I485" t="s">
        <v>187</v>
      </c>
      <c r="J485" t="s">
        <v>775</v>
      </c>
      <c r="K485" t="s">
        <v>338</v>
      </c>
      <c r="L485" t="s">
        <v>214</v>
      </c>
      <c r="Y485" t="str">
        <f>"2021-09-27T00:00:00"</f>
        <v>2021-09-27T00:00:00</v>
      </c>
      <c r="Z485" t="str">
        <f>"41"</f>
        <v>41</v>
      </c>
      <c r="AA485" t="s">
        <v>835</v>
      </c>
      <c r="AC485" t="s">
        <v>225</v>
      </c>
      <c r="AD485" t="s">
        <v>261</v>
      </c>
      <c r="AE485" t="s">
        <v>243</v>
      </c>
      <c r="AF485" t="s">
        <v>194</v>
      </c>
      <c r="AH485" t="s">
        <v>195</v>
      </c>
      <c r="AI485">
        <v>3</v>
      </c>
      <c r="AJ485" t="s">
        <v>196</v>
      </c>
      <c r="AK485" t="s">
        <v>194</v>
      </c>
      <c r="AL485" t="s">
        <v>197</v>
      </c>
      <c r="AM485" t="s">
        <v>198</v>
      </c>
      <c r="AR485" t="s">
        <v>194</v>
      </c>
      <c r="AS485" t="s">
        <v>199</v>
      </c>
      <c r="AU485" t="s">
        <v>197</v>
      </c>
      <c r="AZ485" t="s">
        <v>214</v>
      </c>
      <c r="BA485" t="s">
        <v>996</v>
      </c>
      <c r="BB485" t="s">
        <v>201</v>
      </c>
      <c r="BD485" t="s">
        <v>1172</v>
      </c>
      <c r="BE485" t="s">
        <v>229</v>
      </c>
      <c r="BF485" t="s">
        <v>197</v>
      </c>
      <c r="BG485" t="s">
        <v>230</v>
      </c>
      <c r="BH485" t="s">
        <v>307</v>
      </c>
      <c r="BJ485" t="s">
        <v>205</v>
      </c>
      <c r="BK485" t="s">
        <v>206</v>
      </c>
      <c r="BL485" t="s">
        <v>194</v>
      </c>
      <c r="BO485" t="s">
        <v>216</v>
      </c>
      <c r="BP485" t="s">
        <v>216</v>
      </c>
      <c r="BR485" t="s">
        <v>232</v>
      </c>
      <c r="BT485" t="s">
        <v>197</v>
      </c>
      <c r="BV485" t="s">
        <v>233</v>
      </c>
      <c r="CA485" t="s">
        <v>194</v>
      </c>
      <c r="CB485" t="s">
        <v>214</v>
      </c>
      <c r="CF485" t="s">
        <v>215</v>
      </c>
      <c r="CH485" t="s">
        <v>214</v>
      </c>
      <c r="CI485" t="s">
        <v>214</v>
      </c>
      <c r="CJ485" t="s">
        <v>214</v>
      </c>
      <c r="CP485" t="s">
        <v>214</v>
      </c>
      <c r="CS485" t="s">
        <v>216</v>
      </c>
      <c r="CV485" t="s">
        <v>214</v>
      </c>
      <c r="CW485" t="s">
        <v>214</v>
      </c>
      <c r="CX485" t="s">
        <v>217</v>
      </c>
      <c r="CY485" t="s">
        <v>214</v>
      </c>
      <c r="DA485" t="s">
        <v>218</v>
      </c>
    </row>
    <row r="486" spans="1:105" x14ac:dyDescent="0.3">
      <c r="A486">
        <v>21141421</v>
      </c>
      <c r="B486">
        <v>9198800</v>
      </c>
      <c r="C486" t="str">
        <f>"120919605516"</f>
        <v>120919605516</v>
      </c>
      <c r="D486" t="s">
        <v>276</v>
      </c>
      <c r="E486" t="s">
        <v>1087</v>
      </c>
      <c r="F486" t="s">
        <v>1341</v>
      </c>
      <c r="G486" s="1">
        <v>41171</v>
      </c>
      <c r="I486" t="s">
        <v>222</v>
      </c>
      <c r="J486" t="s">
        <v>188</v>
      </c>
      <c r="K486" t="s">
        <v>189</v>
      </c>
      <c r="Y486" t="str">
        <f>"2021-08-13T00:00:00"</f>
        <v>2021-08-13T00:00:00</v>
      </c>
      <c r="Z486" t="str">
        <f>"28"</f>
        <v>28</v>
      </c>
      <c r="AA486" t="s">
        <v>224</v>
      </c>
      <c r="AC486" t="s">
        <v>225</v>
      </c>
      <c r="AD486" t="s">
        <v>615</v>
      </c>
      <c r="AE486" t="s">
        <v>227</v>
      </c>
      <c r="AF486" t="s">
        <v>194</v>
      </c>
      <c r="AH486" t="s">
        <v>195</v>
      </c>
      <c r="AI486">
        <v>2</v>
      </c>
      <c r="AJ486" t="s">
        <v>196</v>
      </c>
      <c r="AK486" t="s">
        <v>194</v>
      </c>
      <c r="AL486" t="s">
        <v>197</v>
      </c>
      <c r="AM486" t="s">
        <v>198</v>
      </c>
      <c r="AR486" t="s">
        <v>194</v>
      </c>
      <c r="AS486" t="s">
        <v>199</v>
      </c>
      <c r="AU486" t="s">
        <v>197</v>
      </c>
      <c r="AZ486" t="s">
        <v>214</v>
      </c>
      <c r="BA486" t="s">
        <v>996</v>
      </c>
      <c r="BB486" t="s">
        <v>201</v>
      </c>
      <c r="BD486" t="s">
        <v>1172</v>
      </c>
      <c r="BE486" t="s">
        <v>202</v>
      </c>
      <c r="BF486" t="s">
        <v>197</v>
      </c>
      <c r="BG486" t="s">
        <v>230</v>
      </c>
      <c r="BH486" t="s">
        <v>420</v>
      </c>
      <c r="BJ486" t="s">
        <v>205</v>
      </c>
      <c r="BK486" t="s">
        <v>206</v>
      </c>
      <c r="BL486" t="s">
        <v>194</v>
      </c>
      <c r="BQ486" t="s">
        <v>731</v>
      </c>
      <c r="BR486" t="s">
        <v>232</v>
      </c>
      <c r="BT486" t="s">
        <v>197</v>
      </c>
      <c r="BV486" t="s">
        <v>415</v>
      </c>
      <c r="BW486" t="s">
        <v>472</v>
      </c>
      <c r="BX486" t="s">
        <v>539</v>
      </c>
      <c r="BY486" t="s">
        <v>534</v>
      </c>
      <c r="BZ486" t="s">
        <v>1342</v>
      </c>
      <c r="CA486" t="s">
        <v>194</v>
      </c>
      <c r="CB486" t="s">
        <v>214</v>
      </c>
      <c r="CF486" t="s">
        <v>215</v>
      </c>
      <c r="CH486" t="s">
        <v>214</v>
      </c>
      <c r="CI486" t="s">
        <v>214</v>
      </c>
      <c r="CJ486" t="s">
        <v>214</v>
      </c>
      <c r="CP486" t="s">
        <v>214</v>
      </c>
      <c r="CS486" t="s">
        <v>216</v>
      </c>
      <c r="CV486" t="s">
        <v>214</v>
      </c>
      <c r="CW486" t="s">
        <v>214</v>
      </c>
      <c r="CX486" t="s">
        <v>217</v>
      </c>
      <c r="CY486" t="s">
        <v>214</v>
      </c>
      <c r="DA486" t="s">
        <v>218</v>
      </c>
    </row>
    <row r="487" spans="1:105" x14ac:dyDescent="0.3">
      <c r="A487">
        <v>20315691</v>
      </c>
      <c r="B487">
        <v>11729122</v>
      </c>
      <c r="C487" t="str">
        <f>"150103603122"</f>
        <v>150103603122</v>
      </c>
      <c r="D487" t="s">
        <v>1343</v>
      </c>
      <c r="E487" t="s">
        <v>1187</v>
      </c>
      <c r="F487" t="s">
        <v>1344</v>
      </c>
      <c r="G487" s="1">
        <v>42007</v>
      </c>
      <c r="I487" t="s">
        <v>222</v>
      </c>
      <c r="J487" t="s">
        <v>188</v>
      </c>
      <c r="K487" t="s">
        <v>223</v>
      </c>
      <c r="Y487" t="str">
        <f>"2021-08-24T00:00:00"</f>
        <v>2021-08-24T00:00:00</v>
      </c>
      <c r="Z487" t="str">
        <f>"29"</f>
        <v>29</v>
      </c>
      <c r="AA487" t="s">
        <v>224</v>
      </c>
      <c r="AC487" t="s">
        <v>191</v>
      </c>
      <c r="AD487" t="s">
        <v>899</v>
      </c>
      <c r="AE487" t="s">
        <v>227</v>
      </c>
      <c r="AF487" t="s">
        <v>194</v>
      </c>
      <c r="AH487" t="s">
        <v>195</v>
      </c>
      <c r="AI487">
        <v>1</v>
      </c>
      <c r="AJ487" t="s">
        <v>196</v>
      </c>
      <c r="AK487" t="s">
        <v>194</v>
      </c>
      <c r="AL487" t="s">
        <v>197</v>
      </c>
      <c r="AM487" t="s">
        <v>198</v>
      </c>
      <c r="AR487" t="s">
        <v>194</v>
      </c>
      <c r="AS487" t="s">
        <v>199</v>
      </c>
      <c r="AU487" t="s">
        <v>197</v>
      </c>
      <c r="AZ487" t="s">
        <v>214</v>
      </c>
      <c r="BA487" t="s">
        <v>996</v>
      </c>
      <c r="BB487" t="s">
        <v>201</v>
      </c>
      <c r="BD487" t="s">
        <v>1172</v>
      </c>
      <c r="BE487" t="s">
        <v>900</v>
      </c>
      <c r="BF487" t="s">
        <v>197</v>
      </c>
      <c r="BJ487" t="s">
        <v>205</v>
      </c>
      <c r="BK487" t="s">
        <v>206</v>
      </c>
      <c r="BL487" t="s">
        <v>194</v>
      </c>
      <c r="BQ487" t="s">
        <v>280</v>
      </c>
      <c r="BR487" t="s">
        <v>232</v>
      </c>
      <c r="BT487" t="s">
        <v>197</v>
      </c>
      <c r="BV487" t="s">
        <v>471</v>
      </c>
      <c r="BW487" t="s">
        <v>416</v>
      </c>
      <c r="BX487" t="s">
        <v>539</v>
      </c>
      <c r="BY487" t="s">
        <v>534</v>
      </c>
      <c r="BZ487" t="s">
        <v>1345</v>
      </c>
      <c r="CA487" t="s">
        <v>194</v>
      </c>
      <c r="CB487" t="s">
        <v>214</v>
      </c>
      <c r="CF487" t="s">
        <v>215</v>
      </c>
      <c r="CH487" t="s">
        <v>214</v>
      </c>
      <c r="CI487" t="s">
        <v>214</v>
      </c>
      <c r="CJ487" t="s">
        <v>214</v>
      </c>
      <c r="CP487" t="s">
        <v>214</v>
      </c>
      <c r="CS487" t="s">
        <v>216</v>
      </c>
      <c r="CV487" t="s">
        <v>214</v>
      </c>
      <c r="CW487" t="s">
        <v>214</v>
      </c>
      <c r="CX487" t="s">
        <v>217</v>
      </c>
      <c r="CY487" t="s">
        <v>214</v>
      </c>
      <c r="DA487" t="s">
        <v>218</v>
      </c>
    </row>
    <row r="488" spans="1:105" x14ac:dyDescent="0.3">
      <c r="A488">
        <v>20315771</v>
      </c>
      <c r="B488">
        <v>6247567</v>
      </c>
      <c r="C488" t="str">
        <f>"141013503227"</f>
        <v>141013503227</v>
      </c>
      <c r="D488" t="s">
        <v>997</v>
      </c>
      <c r="E488" t="s">
        <v>794</v>
      </c>
      <c r="F488" t="s">
        <v>748</v>
      </c>
      <c r="G488" s="1">
        <v>41925</v>
      </c>
      <c r="I488" t="s">
        <v>187</v>
      </c>
      <c r="J488" t="s">
        <v>188</v>
      </c>
      <c r="K488" t="s">
        <v>223</v>
      </c>
      <c r="Q488" t="s">
        <v>214</v>
      </c>
      <c r="Y488" t="str">
        <f>"2021-08-24T00:00:00"</f>
        <v>2021-08-24T00:00:00</v>
      </c>
      <c r="Z488" t="str">
        <f>"29"</f>
        <v>29</v>
      </c>
      <c r="AA488" t="s">
        <v>224</v>
      </c>
      <c r="AC488" t="s">
        <v>225</v>
      </c>
      <c r="AD488" t="s">
        <v>899</v>
      </c>
      <c r="AE488" t="s">
        <v>227</v>
      </c>
      <c r="AF488" t="s">
        <v>194</v>
      </c>
      <c r="AH488" t="s">
        <v>195</v>
      </c>
      <c r="AI488">
        <v>1</v>
      </c>
      <c r="AJ488" t="s">
        <v>196</v>
      </c>
      <c r="AK488" t="s">
        <v>194</v>
      </c>
      <c r="AL488" t="s">
        <v>197</v>
      </c>
      <c r="AM488" t="s">
        <v>811</v>
      </c>
      <c r="AR488" t="s">
        <v>214</v>
      </c>
      <c r="AU488" t="s">
        <v>197</v>
      </c>
      <c r="AZ488" t="s">
        <v>214</v>
      </c>
      <c r="BA488" t="s">
        <v>996</v>
      </c>
      <c r="BB488" t="s">
        <v>201</v>
      </c>
      <c r="BD488" t="s">
        <v>1172</v>
      </c>
      <c r="BE488" t="s">
        <v>900</v>
      </c>
      <c r="BF488" t="s">
        <v>197</v>
      </c>
      <c r="BJ488" t="s">
        <v>205</v>
      </c>
      <c r="BK488" t="s">
        <v>206</v>
      </c>
      <c r="BL488" t="s">
        <v>194</v>
      </c>
      <c r="BQ488" t="s">
        <v>280</v>
      </c>
      <c r="BR488" t="s">
        <v>232</v>
      </c>
      <c r="BT488" t="s">
        <v>197</v>
      </c>
      <c r="BV488" t="s">
        <v>233</v>
      </c>
      <c r="CA488" t="s">
        <v>194</v>
      </c>
      <c r="CB488" t="s">
        <v>214</v>
      </c>
      <c r="CF488" t="s">
        <v>215</v>
      </c>
      <c r="CH488" t="s">
        <v>214</v>
      </c>
      <c r="CI488" t="s">
        <v>214</v>
      </c>
      <c r="CJ488" t="s">
        <v>214</v>
      </c>
      <c r="CK488" t="s">
        <v>1346</v>
      </c>
      <c r="CM488" t="s">
        <v>1347</v>
      </c>
      <c r="CN488" t="s">
        <v>1348</v>
      </c>
      <c r="CO488" t="s">
        <v>1349</v>
      </c>
      <c r="CP488" t="s">
        <v>214</v>
      </c>
      <c r="CS488" t="s">
        <v>216</v>
      </c>
      <c r="CV488" t="s">
        <v>214</v>
      </c>
      <c r="CW488" t="s">
        <v>214</v>
      </c>
      <c r="CX488" t="s">
        <v>217</v>
      </c>
      <c r="CY488" t="s">
        <v>214</v>
      </c>
      <c r="DA488" t="s">
        <v>218</v>
      </c>
    </row>
    <row r="489" spans="1:105" x14ac:dyDescent="0.3">
      <c r="A489">
        <v>21308186</v>
      </c>
      <c r="B489">
        <v>938669</v>
      </c>
      <c r="C489" t="str">
        <f>"140731605627"</f>
        <v>140731605627</v>
      </c>
      <c r="D489" t="s">
        <v>1350</v>
      </c>
      <c r="E489" t="s">
        <v>1351</v>
      </c>
      <c r="F489" t="s">
        <v>1352</v>
      </c>
      <c r="G489" s="1">
        <v>41851</v>
      </c>
      <c r="I489" t="s">
        <v>222</v>
      </c>
      <c r="J489" t="s">
        <v>188</v>
      </c>
      <c r="K489" t="s">
        <v>189</v>
      </c>
      <c r="Y489" t="str">
        <f>"2021-08-31T00:00:00"</f>
        <v>2021-08-31T00:00:00</v>
      </c>
      <c r="Z489" t="str">
        <f>"31"</f>
        <v>31</v>
      </c>
      <c r="AA489" t="s">
        <v>224</v>
      </c>
      <c r="AC489" t="s">
        <v>255</v>
      </c>
      <c r="AD489" t="s">
        <v>815</v>
      </c>
      <c r="AE489" t="s">
        <v>227</v>
      </c>
      <c r="AF489" t="s">
        <v>194</v>
      </c>
      <c r="AH489" t="s">
        <v>195</v>
      </c>
      <c r="AI489">
        <v>1</v>
      </c>
      <c r="AJ489" t="s">
        <v>196</v>
      </c>
      <c r="AK489" t="s">
        <v>194</v>
      </c>
      <c r="AL489" t="s">
        <v>197</v>
      </c>
      <c r="AM489" t="s">
        <v>198</v>
      </c>
      <c r="AR489" t="s">
        <v>194</v>
      </c>
      <c r="AS489" t="s">
        <v>199</v>
      </c>
      <c r="AU489" t="s">
        <v>197</v>
      </c>
      <c r="AZ489" t="s">
        <v>214</v>
      </c>
      <c r="BA489" t="s">
        <v>996</v>
      </c>
      <c r="BB489" t="s">
        <v>201</v>
      </c>
      <c r="BE489" t="s">
        <v>229</v>
      </c>
      <c r="BF489" t="s">
        <v>197</v>
      </c>
      <c r="BG489" t="s">
        <v>230</v>
      </c>
      <c r="BH489" t="s">
        <v>307</v>
      </c>
      <c r="BJ489" t="s">
        <v>205</v>
      </c>
      <c r="BK489" t="s">
        <v>206</v>
      </c>
      <c r="BL489" t="s">
        <v>194</v>
      </c>
      <c r="BQ489" t="s">
        <v>286</v>
      </c>
      <c r="BR489" t="s">
        <v>232</v>
      </c>
      <c r="BT489" t="s">
        <v>197</v>
      </c>
      <c r="BV489" t="s">
        <v>471</v>
      </c>
      <c r="BW489" t="s">
        <v>416</v>
      </c>
      <c r="BX489" t="s">
        <v>539</v>
      </c>
      <c r="BY489" t="s">
        <v>534</v>
      </c>
      <c r="BZ489" t="s">
        <v>616</v>
      </c>
      <c r="CA489" t="s">
        <v>214</v>
      </c>
      <c r="CB489" t="s">
        <v>214</v>
      </c>
      <c r="CF489" t="s">
        <v>215</v>
      </c>
      <c r="CH489" t="s">
        <v>214</v>
      </c>
      <c r="CI489" t="s">
        <v>214</v>
      </c>
      <c r="CJ489" t="s">
        <v>214</v>
      </c>
      <c r="CP489" t="s">
        <v>214</v>
      </c>
      <c r="CS489" t="s">
        <v>216</v>
      </c>
      <c r="CV489" t="s">
        <v>214</v>
      </c>
      <c r="CW489" t="s">
        <v>214</v>
      </c>
      <c r="CX489" t="s">
        <v>217</v>
      </c>
      <c r="CY489" t="s">
        <v>214</v>
      </c>
      <c r="DA489" t="s">
        <v>218</v>
      </c>
    </row>
    <row r="490" spans="1:105" x14ac:dyDescent="0.3">
      <c r="A490">
        <v>20315965</v>
      </c>
      <c r="B490">
        <v>621972</v>
      </c>
      <c r="C490" t="str">
        <f>"141230601386"</f>
        <v>141230601386</v>
      </c>
      <c r="D490" t="s">
        <v>329</v>
      </c>
      <c r="E490" t="s">
        <v>398</v>
      </c>
      <c r="F490" t="s">
        <v>1190</v>
      </c>
      <c r="G490" s="1">
        <v>42003</v>
      </c>
      <c r="I490" t="s">
        <v>222</v>
      </c>
      <c r="J490" t="s">
        <v>188</v>
      </c>
      <c r="K490" t="s">
        <v>260</v>
      </c>
      <c r="Y490" t="str">
        <f>"2021-08-24T00:00:00"</f>
        <v>2021-08-24T00:00:00</v>
      </c>
      <c r="Z490" t="str">
        <f>"29"</f>
        <v>29</v>
      </c>
      <c r="AA490" t="s">
        <v>224</v>
      </c>
      <c r="AC490" t="s">
        <v>225</v>
      </c>
      <c r="AD490" t="s">
        <v>899</v>
      </c>
      <c r="AE490" t="s">
        <v>227</v>
      </c>
      <c r="AF490" t="s">
        <v>194</v>
      </c>
      <c r="AH490" t="s">
        <v>195</v>
      </c>
      <c r="AI490">
        <v>1</v>
      </c>
      <c r="AJ490" t="s">
        <v>196</v>
      </c>
      <c r="AK490" t="s">
        <v>194</v>
      </c>
      <c r="AL490" t="s">
        <v>197</v>
      </c>
      <c r="AM490" t="s">
        <v>198</v>
      </c>
      <c r="AR490" t="s">
        <v>194</v>
      </c>
      <c r="AS490" t="s">
        <v>199</v>
      </c>
      <c r="AU490" t="s">
        <v>197</v>
      </c>
      <c r="AZ490" t="s">
        <v>214</v>
      </c>
      <c r="BA490" t="s">
        <v>996</v>
      </c>
      <c r="BB490" t="s">
        <v>201</v>
      </c>
      <c r="BD490" t="s">
        <v>1172</v>
      </c>
      <c r="BE490" t="s">
        <v>900</v>
      </c>
      <c r="BF490" t="s">
        <v>197</v>
      </c>
      <c r="BJ490" t="s">
        <v>205</v>
      </c>
      <c r="BK490" t="s">
        <v>206</v>
      </c>
      <c r="BL490" t="s">
        <v>194</v>
      </c>
      <c r="BO490" t="s">
        <v>216</v>
      </c>
      <c r="BP490" t="s">
        <v>216</v>
      </c>
      <c r="BQ490" t="s">
        <v>280</v>
      </c>
      <c r="BR490" t="s">
        <v>232</v>
      </c>
      <c r="BT490" t="s">
        <v>197</v>
      </c>
      <c r="BV490" t="s">
        <v>233</v>
      </c>
      <c r="CA490" t="s">
        <v>194</v>
      </c>
      <c r="CB490" t="s">
        <v>214</v>
      </c>
      <c r="CF490" t="s">
        <v>215</v>
      </c>
      <c r="CH490" t="s">
        <v>214</v>
      </c>
      <c r="CI490" t="s">
        <v>214</v>
      </c>
      <c r="CJ490" t="s">
        <v>214</v>
      </c>
      <c r="CP490" t="s">
        <v>214</v>
      </c>
      <c r="CS490" t="s">
        <v>216</v>
      </c>
      <c r="CV490" t="s">
        <v>214</v>
      </c>
      <c r="CW490" t="s">
        <v>214</v>
      </c>
      <c r="CX490" t="s">
        <v>217</v>
      </c>
      <c r="CY490" t="s">
        <v>214</v>
      </c>
      <c r="DA490" t="s">
        <v>218</v>
      </c>
    </row>
    <row r="491" spans="1:105" x14ac:dyDescent="0.3">
      <c r="A491">
        <v>21334477</v>
      </c>
      <c r="B491">
        <v>2243256</v>
      </c>
      <c r="C491" t="str">
        <f>"081004650986"</f>
        <v>081004650986</v>
      </c>
      <c r="D491" t="s">
        <v>1353</v>
      </c>
      <c r="E491" t="s">
        <v>713</v>
      </c>
      <c r="F491" t="s">
        <v>1354</v>
      </c>
      <c r="G491" s="1">
        <v>39725</v>
      </c>
      <c r="I491" t="s">
        <v>222</v>
      </c>
      <c r="J491" t="s">
        <v>188</v>
      </c>
      <c r="K491" t="s">
        <v>189</v>
      </c>
      <c r="Y491" t="str">
        <f>"2021-10-21T00:00:00"</f>
        <v>2021-10-21T00:00:00</v>
      </c>
      <c r="Z491" t="str">
        <f>"47"</f>
        <v>47</v>
      </c>
      <c r="AA491" t="s">
        <v>835</v>
      </c>
      <c r="AC491" t="s">
        <v>225</v>
      </c>
      <c r="AD491" t="s">
        <v>226</v>
      </c>
      <c r="AE491" t="s">
        <v>193</v>
      </c>
      <c r="AF491" t="s">
        <v>194</v>
      </c>
      <c r="AH491" t="s">
        <v>195</v>
      </c>
      <c r="AI491">
        <v>3</v>
      </c>
      <c r="AJ491" t="s">
        <v>196</v>
      </c>
      <c r="AK491" t="s">
        <v>194</v>
      </c>
      <c r="AL491" t="s">
        <v>197</v>
      </c>
      <c r="AM491" t="s">
        <v>198</v>
      </c>
      <c r="AR491" t="s">
        <v>194</v>
      </c>
      <c r="AS491" t="s">
        <v>199</v>
      </c>
      <c r="AU491" t="s">
        <v>197</v>
      </c>
      <c r="AZ491" t="s">
        <v>214</v>
      </c>
      <c r="BA491" t="s">
        <v>996</v>
      </c>
      <c r="BB491" t="s">
        <v>201</v>
      </c>
      <c r="BD491" t="s">
        <v>1172</v>
      </c>
      <c r="BE491" t="s">
        <v>229</v>
      </c>
      <c r="BF491" t="s">
        <v>197</v>
      </c>
      <c r="BG491" t="s">
        <v>230</v>
      </c>
      <c r="BH491" t="s">
        <v>307</v>
      </c>
      <c r="BJ491" t="s">
        <v>205</v>
      </c>
      <c r="BK491" t="s">
        <v>206</v>
      </c>
      <c r="BL491" t="s">
        <v>214</v>
      </c>
      <c r="BR491" t="s">
        <v>232</v>
      </c>
      <c r="BT491" t="s">
        <v>197</v>
      </c>
      <c r="BV491" t="s">
        <v>471</v>
      </c>
      <c r="BW491" t="s">
        <v>416</v>
      </c>
      <c r="BX491" t="s">
        <v>539</v>
      </c>
      <c r="BY491" t="s">
        <v>212</v>
      </c>
      <c r="BZ491" t="s">
        <v>1355</v>
      </c>
      <c r="CA491" t="s">
        <v>194</v>
      </c>
      <c r="CB491" t="s">
        <v>214</v>
      </c>
      <c r="CF491" t="s">
        <v>215</v>
      </c>
      <c r="CH491" t="s">
        <v>214</v>
      </c>
      <c r="CI491" t="s">
        <v>214</v>
      </c>
      <c r="CJ491" t="s">
        <v>214</v>
      </c>
      <c r="CP491" t="s">
        <v>214</v>
      </c>
      <c r="CS491" t="s">
        <v>216</v>
      </c>
      <c r="CV491" t="s">
        <v>214</v>
      </c>
      <c r="CW491" t="s">
        <v>214</v>
      </c>
      <c r="CX491" t="s">
        <v>217</v>
      </c>
      <c r="CY491" t="s">
        <v>214</v>
      </c>
      <c r="DA491" t="s">
        <v>218</v>
      </c>
    </row>
    <row r="492" spans="1:105" x14ac:dyDescent="0.3">
      <c r="A492">
        <v>21454711</v>
      </c>
      <c r="B492">
        <v>6136016</v>
      </c>
      <c r="C492" t="str">
        <f>"131005502674"</f>
        <v>131005502674</v>
      </c>
      <c r="D492" t="s">
        <v>1356</v>
      </c>
      <c r="E492" t="s">
        <v>277</v>
      </c>
      <c r="F492" t="s">
        <v>1357</v>
      </c>
      <c r="G492" s="1">
        <v>41552</v>
      </c>
      <c r="I492" t="s">
        <v>187</v>
      </c>
      <c r="J492" t="s">
        <v>188</v>
      </c>
      <c r="K492" t="s">
        <v>189</v>
      </c>
      <c r="Y492" t="str">
        <f>"2021-11-05T00:00:00"</f>
        <v>2021-11-05T00:00:00</v>
      </c>
      <c r="Z492" t="str">
        <f>"49"</f>
        <v>49</v>
      </c>
      <c r="AA492" t="s">
        <v>835</v>
      </c>
      <c r="AC492" t="s">
        <v>255</v>
      </c>
      <c r="AD492" t="s">
        <v>815</v>
      </c>
      <c r="AE492" t="s">
        <v>193</v>
      </c>
      <c r="AF492" t="s">
        <v>194</v>
      </c>
      <c r="AH492" t="s">
        <v>195</v>
      </c>
      <c r="AI492">
        <v>2</v>
      </c>
      <c r="AJ492" t="s">
        <v>196</v>
      </c>
      <c r="AK492" t="s">
        <v>194</v>
      </c>
      <c r="AL492" t="s">
        <v>197</v>
      </c>
      <c r="AM492" t="s">
        <v>198</v>
      </c>
      <c r="AR492" t="s">
        <v>194</v>
      </c>
      <c r="AS492" t="s">
        <v>199</v>
      </c>
      <c r="AU492" t="s">
        <v>197</v>
      </c>
      <c r="AZ492" t="s">
        <v>214</v>
      </c>
      <c r="BA492" t="s">
        <v>996</v>
      </c>
      <c r="BB492" t="s">
        <v>201</v>
      </c>
      <c r="BD492" t="s">
        <v>1172</v>
      </c>
      <c r="BE492" t="s">
        <v>229</v>
      </c>
      <c r="BF492" t="s">
        <v>197</v>
      </c>
      <c r="BG492" t="s">
        <v>230</v>
      </c>
      <c r="BH492" t="s">
        <v>307</v>
      </c>
      <c r="BJ492" t="s">
        <v>205</v>
      </c>
      <c r="BK492" t="s">
        <v>206</v>
      </c>
      <c r="BL492" t="s">
        <v>214</v>
      </c>
      <c r="BQ492" t="s">
        <v>286</v>
      </c>
      <c r="BR492" t="s">
        <v>232</v>
      </c>
      <c r="BT492" t="s">
        <v>197</v>
      </c>
      <c r="BV492" t="s">
        <v>415</v>
      </c>
      <c r="BW492" t="s">
        <v>416</v>
      </c>
      <c r="BX492" t="s">
        <v>539</v>
      </c>
      <c r="BY492" t="s">
        <v>534</v>
      </c>
      <c r="BZ492" t="s">
        <v>616</v>
      </c>
      <c r="CA492" t="s">
        <v>214</v>
      </c>
      <c r="CB492" t="s">
        <v>214</v>
      </c>
      <c r="CF492" t="s">
        <v>215</v>
      </c>
      <c r="CH492" t="s">
        <v>214</v>
      </c>
      <c r="CI492" t="s">
        <v>214</v>
      </c>
      <c r="CJ492" t="s">
        <v>214</v>
      </c>
      <c r="CP492" t="s">
        <v>214</v>
      </c>
      <c r="CS492" t="s">
        <v>216</v>
      </c>
      <c r="CV492" t="s">
        <v>214</v>
      </c>
      <c r="CW492" t="s">
        <v>214</v>
      </c>
      <c r="CX492" t="s">
        <v>217</v>
      </c>
      <c r="CY492" t="s">
        <v>214</v>
      </c>
      <c r="DA492" t="s">
        <v>218</v>
      </c>
    </row>
    <row r="493" spans="1:105" x14ac:dyDescent="0.3">
      <c r="A493">
        <v>21454724</v>
      </c>
      <c r="B493">
        <v>6020780</v>
      </c>
      <c r="C493" t="str">
        <f>"100114553321"</f>
        <v>100114553321</v>
      </c>
      <c r="D493" t="s">
        <v>1356</v>
      </c>
      <c r="E493" t="s">
        <v>1358</v>
      </c>
      <c r="F493" t="s">
        <v>1357</v>
      </c>
      <c r="G493" s="1">
        <v>40192</v>
      </c>
      <c r="I493" t="s">
        <v>187</v>
      </c>
      <c r="J493" t="s">
        <v>188</v>
      </c>
      <c r="K493" t="s">
        <v>189</v>
      </c>
      <c r="Y493" t="str">
        <f>"2021-11-05T00:00:00"</f>
        <v>2021-11-05T00:00:00</v>
      </c>
      <c r="Z493" t="str">
        <f>"49"</f>
        <v>49</v>
      </c>
      <c r="AA493" t="s">
        <v>835</v>
      </c>
      <c r="AC493" t="s">
        <v>191</v>
      </c>
      <c r="AD493" t="s">
        <v>242</v>
      </c>
      <c r="AE493" t="s">
        <v>193</v>
      </c>
      <c r="AF493" t="s">
        <v>194</v>
      </c>
      <c r="AH493" t="s">
        <v>195</v>
      </c>
      <c r="AI493">
        <v>3</v>
      </c>
      <c r="AJ493" t="s">
        <v>196</v>
      </c>
      <c r="AK493" t="s">
        <v>194</v>
      </c>
      <c r="AL493" t="s">
        <v>197</v>
      </c>
      <c r="AM493" t="s">
        <v>198</v>
      </c>
      <c r="AR493" t="s">
        <v>194</v>
      </c>
      <c r="AS493" t="s">
        <v>199</v>
      </c>
      <c r="AU493" t="s">
        <v>197</v>
      </c>
      <c r="AZ493" t="s">
        <v>214</v>
      </c>
      <c r="BA493" t="s">
        <v>996</v>
      </c>
      <c r="BB493" t="s">
        <v>201</v>
      </c>
      <c r="BD493" t="s">
        <v>1172</v>
      </c>
      <c r="BE493" t="s">
        <v>229</v>
      </c>
      <c r="BF493" t="s">
        <v>197</v>
      </c>
      <c r="BG493" t="s">
        <v>230</v>
      </c>
      <c r="BH493" t="s">
        <v>307</v>
      </c>
      <c r="BJ493" t="s">
        <v>205</v>
      </c>
      <c r="BK493" t="s">
        <v>206</v>
      </c>
      <c r="BL493" t="s">
        <v>214</v>
      </c>
      <c r="BR493" t="s">
        <v>232</v>
      </c>
      <c r="BT493" t="s">
        <v>1359</v>
      </c>
      <c r="BU493" t="s">
        <v>1205</v>
      </c>
      <c r="BV493" t="s">
        <v>1360</v>
      </c>
      <c r="BW493" t="s">
        <v>1361</v>
      </c>
      <c r="BX493" t="s">
        <v>1362</v>
      </c>
      <c r="BY493" t="s">
        <v>1363</v>
      </c>
      <c r="BZ493" t="s">
        <v>1364</v>
      </c>
      <c r="CA493" t="s">
        <v>194</v>
      </c>
      <c r="CB493" t="s">
        <v>214</v>
      </c>
      <c r="CF493" t="s">
        <v>215</v>
      </c>
      <c r="CH493" t="s">
        <v>214</v>
      </c>
      <c r="CI493" t="s">
        <v>214</v>
      </c>
      <c r="CJ493" t="s">
        <v>214</v>
      </c>
      <c r="CP493" t="s">
        <v>214</v>
      </c>
      <c r="CS493" t="s">
        <v>216</v>
      </c>
      <c r="CV493" t="s">
        <v>214</v>
      </c>
      <c r="CW493" t="s">
        <v>214</v>
      </c>
      <c r="CX493" t="s">
        <v>217</v>
      </c>
      <c r="CY493" t="s">
        <v>214</v>
      </c>
      <c r="DA493" t="s">
        <v>218</v>
      </c>
    </row>
    <row r="494" spans="1:105" x14ac:dyDescent="0.3">
      <c r="A494">
        <v>20316576</v>
      </c>
      <c r="B494">
        <v>6517912</v>
      </c>
      <c r="C494" t="str">
        <f>"141124604106"</f>
        <v>141124604106</v>
      </c>
      <c r="D494" t="s">
        <v>1365</v>
      </c>
      <c r="E494" t="s">
        <v>614</v>
      </c>
      <c r="F494" t="s">
        <v>1090</v>
      </c>
      <c r="G494" s="1">
        <v>41967</v>
      </c>
      <c r="I494" t="s">
        <v>222</v>
      </c>
      <c r="J494" t="s">
        <v>188</v>
      </c>
      <c r="K494" t="s">
        <v>189</v>
      </c>
      <c r="L494" t="s">
        <v>214</v>
      </c>
      <c r="Q494" t="s">
        <v>214</v>
      </c>
      <c r="Y494" t="str">
        <f>"2021-08-24T00:00:00"</f>
        <v>2021-08-24T00:00:00</v>
      </c>
      <c r="Z494" t="str">
        <f>"29"</f>
        <v>29</v>
      </c>
      <c r="AA494" t="s">
        <v>835</v>
      </c>
      <c r="AC494" t="s">
        <v>191</v>
      </c>
      <c r="AD494" t="s">
        <v>899</v>
      </c>
      <c r="AE494" t="s">
        <v>193</v>
      </c>
      <c r="AF494" t="s">
        <v>194</v>
      </c>
      <c r="AH494" t="s">
        <v>195</v>
      </c>
      <c r="AI494">
        <v>1</v>
      </c>
      <c r="AJ494" t="s">
        <v>196</v>
      </c>
      <c r="AK494" t="s">
        <v>194</v>
      </c>
      <c r="AL494" t="s">
        <v>197</v>
      </c>
      <c r="AM494" t="s">
        <v>198</v>
      </c>
      <c r="AR494" t="s">
        <v>194</v>
      </c>
      <c r="AS494" t="s">
        <v>199</v>
      </c>
      <c r="AU494" t="s">
        <v>197</v>
      </c>
      <c r="AZ494" t="s">
        <v>214</v>
      </c>
      <c r="BA494" t="s">
        <v>996</v>
      </c>
      <c r="BB494" t="s">
        <v>201</v>
      </c>
      <c r="BD494" t="s">
        <v>1172</v>
      </c>
      <c r="BE494" t="s">
        <v>900</v>
      </c>
      <c r="BF494" t="s">
        <v>197</v>
      </c>
      <c r="BJ494" t="s">
        <v>205</v>
      </c>
      <c r="BK494" t="s">
        <v>206</v>
      </c>
      <c r="BL494" t="s">
        <v>194</v>
      </c>
      <c r="BQ494" t="s">
        <v>280</v>
      </c>
      <c r="BR494" t="s">
        <v>232</v>
      </c>
      <c r="BT494" t="s">
        <v>197</v>
      </c>
      <c r="BV494" t="s">
        <v>233</v>
      </c>
      <c r="CA494" t="s">
        <v>194</v>
      </c>
      <c r="CB494" t="s">
        <v>214</v>
      </c>
      <c r="CF494" t="s">
        <v>215</v>
      </c>
      <c r="CH494" t="s">
        <v>214</v>
      </c>
      <c r="CI494" t="s">
        <v>214</v>
      </c>
      <c r="CJ494" t="s">
        <v>214</v>
      </c>
      <c r="CP494" t="s">
        <v>214</v>
      </c>
      <c r="CS494" t="s">
        <v>216</v>
      </c>
      <c r="CV494" t="s">
        <v>214</v>
      </c>
      <c r="CW494" t="s">
        <v>214</v>
      </c>
      <c r="CX494" t="s">
        <v>217</v>
      </c>
      <c r="CY494" t="s">
        <v>214</v>
      </c>
      <c r="DA494" t="s">
        <v>218</v>
      </c>
    </row>
    <row r="495" spans="1:105" x14ac:dyDescent="0.3">
      <c r="A495">
        <v>20316658</v>
      </c>
      <c r="B495">
        <v>956134</v>
      </c>
      <c r="C495" t="str">
        <f>"141003503252"</f>
        <v>141003503252</v>
      </c>
      <c r="D495" t="s">
        <v>1366</v>
      </c>
      <c r="E495" t="s">
        <v>1367</v>
      </c>
      <c r="F495" t="s">
        <v>1368</v>
      </c>
      <c r="G495" s="1">
        <v>41915</v>
      </c>
      <c r="I495" t="s">
        <v>187</v>
      </c>
      <c r="J495" t="s">
        <v>188</v>
      </c>
      <c r="K495" t="s">
        <v>189</v>
      </c>
      <c r="Y495" t="str">
        <f>"2021-08-24T00:00:00"</f>
        <v>2021-08-24T00:00:00</v>
      </c>
      <c r="Z495" t="str">
        <f>"29"</f>
        <v>29</v>
      </c>
      <c r="AA495" t="s">
        <v>224</v>
      </c>
      <c r="AC495" t="s">
        <v>191</v>
      </c>
      <c r="AD495" t="s">
        <v>899</v>
      </c>
      <c r="AE495" t="s">
        <v>193</v>
      </c>
      <c r="AF495" t="s">
        <v>194</v>
      </c>
      <c r="AH495" t="s">
        <v>195</v>
      </c>
      <c r="AI495">
        <v>1</v>
      </c>
      <c r="AJ495" t="s">
        <v>196</v>
      </c>
      <c r="AK495" t="s">
        <v>194</v>
      </c>
      <c r="AL495" t="s">
        <v>197</v>
      </c>
      <c r="AM495" t="s">
        <v>198</v>
      </c>
      <c r="AR495" t="s">
        <v>194</v>
      </c>
      <c r="AS495" t="s">
        <v>199</v>
      </c>
      <c r="AU495" t="s">
        <v>197</v>
      </c>
      <c r="AZ495" t="s">
        <v>214</v>
      </c>
      <c r="BA495" t="s">
        <v>996</v>
      </c>
      <c r="BB495" t="s">
        <v>201</v>
      </c>
      <c r="BD495" t="s">
        <v>1172</v>
      </c>
      <c r="BE495" t="s">
        <v>900</v>
      </c>
      <c r="BF495" t="s">
        <v>197</v>
      </c>
      <c r="BJ495" t="s">
        <v>205</v>
      </c>
      <c r="BK495" t="s">
        <v>206</v>
      </c>
      <c r="BL495" t="s">
        <v>194</v>
      </c>
      <c r="BQ495" t="s">
        <v>280</v>
      </c>
      <c r="BR495" t="s">
        <v>232</v>
      </c>
      <c r="BT495" t="s">
        <v>197</v>
      </c>
      <c r="BV495" t="s">
        <v>233</v>
      </c>
      <c r="CA495" t="s">
        <v>194</v>
      </c>
      <c r="CB495" t="s">
        <v>214</v>
      </c>
      <c r="CF495" t="s">
        <v>215</v>
      </c>
      <c r="CH495" t="s">
        <v>214</v>
      </c>
      <c r="CI495" t="s">
        <v>214</v>
      </c>
      <c r="CJ495" t="s">
        <v>214</v>
      </c>
      <c r="CP495" t="s">
        <v>214</v>
      </c>
      <c r="CS495" t="s">
        <v>216</v>
      </c>
      <c r="CV495" t="s">
        <v>214</v>
      </c>
      <c r="CW495" t="s">
        <v>214</v>
      </c>
      <c r="CX495" t="s">
        <v>217</v>
      </c>
      <c r="CY495" t="s">
        <v>214</v>
      </c>
      <c r="DA495" t="s">
        <v>218</v>
      </c>
    </row>
    <row r="496" spans="1:105" x14ac:dyDescent="0.3">
      <c r="A496">
        <v>20316737</v>
      </c>
      <c r="B496">
        <v>11729298</v>
      </c>
      <c r="C496" t="str">
        <f>"150128603093"</f>
        <v>150128603093</v>
      </c>
      <c r="D496" t="s">
        <v>1369</v>
      </c>
      <c r="E496" t="s">
        <v>537</v>
      </c>
      <c r="F496" t="s">
        <v>236</v>
      </c>
      <c r="G496" s="1">
        <v>42032</v>
      </c>
      <c r="I496" t="s">
        <v>222</v>
      </c>
      <c r="J496" t="s">
        <v>188</v>
      </c>
      <c r="K496" t="s">
        <v>223</v>
      </c>
      <c r="Y496" t="str">
        <f>"2021-08-24T00:00:00"</f>
        <v>2021-08-24T00:00:00</v>
      </c>
      <c r="Z496" t="str">
        <f>"29"</f>
        <v>29</v>
      </c>
      <c r="AA496" t="s">
        <v>224</v>
      </c>
      <c r="AC496" t="s">
        <v>225</v>
      </c>
      <c r="AD496" t="s">
        <v>899</v>
      </c>
      <c r="AE496" t="s">
        <v>193</v>
      </c>
      <c r="AF496" t="s">
        <v>194</v>
      </c>
      <c r="AH496" t="s">
        <v>195</v>
      </c>
      <c r="AI496">
        <v>1</v>
      </c>
      <c r="AJ496" t="s">
        <v>196</v>
      </c>
      <c r="AK496" t="s">
        <v>194</v>
      </c>
      <c r="AL496" t="s">
        <v>197</v>
      </c>
      <c r="AM496" t="s">
        <v>198</v>
      </c>
      <c r="AR496" t="s">
        <v>194</v>
      </c>
      <c r="AS496" t="s">
        <v>199</v>
      </c>
      <c r="AU496" t="s">
        <v>197</v>
      </c>
      <c r="AZ496" t="s">
        <v>214</v>
      </c>
      <c r="BA496" t="s">
        <v>996</v>
      </c>
      <c r="BB496" t="s">
        <v>201</v>
      </c>
      <c r="BD496" t="s">
        <v>1172</v>
      </c>
      <c r="BE496" t="s">
        <v>900</v>
      </c>
      <c r="BF496" t="s">
        <v>197</v>
      </c>
      <c r="BJ496" t="s">
        <v>205</v>
      </c>
      <c r="BK496" t="s">
        <v>206</v>
      </c>
      <c r="BL496" t="s">
        <v>194</v>
      </c>
      <c r="BQ496" t="s">
        <v>280</v>
      </c>
      <c r="BR496" t="s">
        <v>232</v>
      </c>
      <c r="BT496" t="s">
        <v>197</v>
      </c>
      <c r="BV496" t="s">
        <v>233</v>
      </c>
      <c r="CA496" t="s">
        <v>194</v>
      </c>
      <c r="CB496" t="s">
        <v>214</v>
      </c>
      <c r="CF496" t="s">
        <v>215</v>
      </c>
      <c r="CH496" t="s">
        <v>214</v>
      </c>
      <c r="CI496" t="s">
        <v>214</v>
      </c>
      <c r="CJ496" t="s">
        <v>214</v>
      </c>
      <c r="CP496" t="s">
        <v>214</v>
      </c>
      <c r="CS496" t="s">
        <v>216</v>
      </c>
      <c r="CV496" t="s">
        <v>214</v>
      </c>
      <c r="CW496" t="s">
        <v>214</v>
      </c>
      <c r="CX496" t="s">
        <v>217</v>
      </c>
      <c r="CY496" t="s">
        <v>214</v>
      </c>
      <c r="DA496" t="s">
        <v>218</v>
      </c>
    </row>
    <row r="497" spans="1:105" x14ac:dyDescent="0.3">
      <c r="A497">
        <v>21568845</v>
      </c>
      <c r="B497">
        <v>6497565</v>
      </c>
      <c r="C497" t="str">
        <f>"130425600660"</f>
        <v>130425600660</v>
      </c>
      <c r="D497" t="s">
        <v>1370</v>
      </c>
      <c r="E497" t="s">
        <v>1371</v>
      </c>
      <c r="F497" t="s">
        <v>379</v>
      </c>
      <c r="G497" s="1">
        <v>41389</v>
      </c>
      <c r="I497" t="s">
        <v>222</v>
      </c>
      <c r="J497" t="s">
        <v>188</v>
      </c>
      <c r="K497" t="s">
        <v>223</v>
      </c>
      <c r="Y497" t="str">
        <f>"2021-11-05T00:00:00"</f>
        <v>2021-11-05T00:00:00</v>
      </c>
      <c r="Z497" t="str">
        <f>"49"</f>
        <v>49</v>
      </c>
      <c r="AA497" t="s">
        <v>835</v>
      </c>
      <c r="AC497" t="s">
        <v>255</v>
      </c>
      <c r="AD497" t="s">
        <v>615</v>
      </c>
      <c r="AE497" t="s">
        <v>227</v>
      </c>
      <c r="AF497" t="s">
        <v>194</v>
      </c>
      <c r="AH497" t="s">
        <v>195</v>
      </c>
      <c r="AI497">
        <v>3</v>
      </c>
      <c r="AJ497" t="s">
        <v>196</v>
      </c>
      <c r="AK497" t="s">
        <v>194</v>
      </c>
      <c r="AL497" t="s">
        <v>197</v>
      </c>
      <c r="AM497" t="s">
        <v>198</v>
      </c>
      <c r="AR497" t="s">
        <v>194</v>
      </c>
      <c r="AS497" t="s">
        <v>199</v>
      </c>
      <c r="AU497" t="s">
        <v>197</v>
      </c>
      <c r="AZ497" t="s">
        <v>214</v>
      </c>
      <c r="BA497" t="s">
        <v>996</v>
      </c>
      <c r="BB497" t="s">
        <v>201</v>
      </c>
      <c r="BD497" t="s">
        <v>1172</v>
      </c>
      <c r="BE497" t="s">
        <v>229</v>
      </c>
      <c r="BF497" t="s">
        <v>197</v>
      </c>
      <c r="BG497" t="s">
        <v>230</v>
      </c>
      <c r="BH497" t="s">
        <v>307</v>
      </c>
      <c r="BJ497" t="s">
        <v>205</v>
      </c>
      <c r="BK497" t="s">
        <v>206</v>
      </c>
      <c r="BL497" t="s">
        <v>214</v>
      </c>
      <c r="BQ497" t="s">
        <v>1125</v>
      </c>
      <c r="BR497" t="s">
        <v>232</v>
      </c>
      <c r="BT497" t="s">
        <v>197</v>
      </c>
      <c r="BV497" t="s">
        <v>233</v>
      </c>
      <c r="CA497" t="s">
        <v>194</v>
      </c>
      <c r="CB497" t="s">
        <v>214</v>
      </c>
      <c r="CF497" t="s">
        <v>215</v>
      </c>
      <c r="CH497" t="s">
        <v>214</v>
      </c>
      <c r="CI497" t="s">
        <v>214</v>
      </c>
      <c r="CJ497" t="s">
        <v>214</v>
      </c>
      <c r="CP497" t="s">
        <v>214</v>
      </c>
      <c r="CS497" t="s">
        <v>216</v>
      </c>
      <c r="CV497" t="s">
        <v>214</v>
      </c>
      <c r="CW497" t="s">
        <v>214</v>
      </c>
      <c r="CX497" t="s">
        <v>217</v>
      </c>
      <c r="CY497" t="s">
        <v>214</v>
      </c>
      <c r="DA497" t="s">
        <v>218</v>
      </c>
    </row>
    <row r="498" spans="1:105" x14ac:dyDescent="0.3">
      <c r="A498">
        <v>21580841</v>
      </c>
      <c r="B498">
        <v>952312</v>
      </c>
      <c r="C498" t="str">
        <f>"150228601205"</f>
        <v>150228601205</v>
      </c>
      <c r="D498" t="s">
        <v>1372</v>
      </c>
      <c r="E498" t="s">
        <v>1373</v>
      </c>
      <c r="F498" t="s">
        <v>1374</v>
      </c>
      <c r="G498" s="1">
        <v>42063</v>
      </c>
      <c r="I498" t="s">
        <v>222</v>
      </c>
      <c r="J498" t="s">
        <v>188</v>
      </c>
      <c r="K498" t="s">
        <v>189</v>
      </c>
      <c r="Y498" t="str">
        <f>"2021-11-16T00:00:00"</f>
        <v>2021-11-16T00:00:00</v>
      </c>
      <c r="Z498" t="str">
        <f>"55"</f>
        <v>55</v>
      </c>
      <c r="AA498" t="s">
        <v>835</v>
      </c>
      <c r="AC498" t="s">
        <v>237</v>
      </c>
      <c r="AD498" t="s">
        <v>899</v>
      </c>
      <c r="AE498" t="s">
        <v>413</v>
      </c>
      <c r="AF498" t="s">
        <v>194</v>
      </c>
      <c r="AH498" t="s">
        <v>195</v>
      </c>
      <c r="AI498">
        <v>1</v>
      </c>
      <c r="AJ498" t="s">
        <v>196</v>
      </c>
      <c r="AK498" t="s">
        <v>194</v>
      </c>
      <c r="AL498" t="s">
        <v>197</v>
      </c>
      <c r="AM498" t="s">
        <v>198</v>
      </c>
      <c r="AR498" t="s">
        <v>194</v>
      </c>
      <c r="AS498" t="s">
        <v>199</v>
      </c>
      <c r="AU498" t="s">
        <v>197</v>
      </c>
      <c r="AZ498" t="s">
        <v>214</v>
      </c>
      <c r="BA498" t="s">
        <v>996</v>
      </c>
      <c r="BB498" t="s">
        <v>201</v>
      </c>
      <c r="BD498" t="s">
        <v>1172</v>
      </c>
      <c r="BE498" t="s">
        <v>900</v>
      </c>
      <c r="BF498" t="s">
        <v>197</v>
      </c>
      <c r="BJ498" t="s">
        <v>205</v>
      </c>
      <c r="BK498" t="s">
        <v>206</v>
      </c>
      <c r="BL498" t="s">
        <v>194</v>
      </c>
      <c r="BQ498" t="s">
        <v>280</v>
      </c>
      <c r="BR498" t="s">
        <v>232</v>
      </c>
      <c r="BT498" t="s">
        <v>197</v>
      </c>
      <c r="BV498" t="s">
        <v>233</v>
      </c>
      <c r="CA498" t="s">
        <v>194</v>
      </c>
      <c r="CB498" t="s">
        <v>214</v>
      </c>
      <c r="CF498" t="s">
        <v>215</v>
      </c>
      <c r="CH498" t="s">
        <v>214</v>
      </c>
      <c r="CI498" t="s">
        <v>214</v>
      </c>
      <c r="CJ498" t="s">
        <v>214</v>
      </c>
      <c r="CP498" t="s">
        <v>214</v>
      </c>
      <c r="CS498" t="s">
        <v>216</v>
      </c>
      <c r="CV498" t="s">
        <v>214</v>
      </c>
      <c r="CW498" t="s">
        <v>214</v>
      </c>
      <c r="CX498" t="s">
        <v>217</v>
      </c>
      <c r="CY498" t="s">
        <v>214</v>
      </c>
      <c r="DA498" t="s">
        <v>218</v>
      </c>
    </row>
    <row r="499" spans="1:105" x14ac:dyDescent="0.3">
      <c r="A499">
        <v>21580849</v>
      </c>
      <c r="B499">
        <v>952188</v>
      </c>
      <c r="C499" t="str">
        <f>"130122600940"</f>
        <v>130122600940</v>
      </c>
      <c r="D499" t="s">
        <v>1372</v>
      </c>
      <c r="E499" t="s">
        <v>1375</v>
      </c>
      <c r="F499" t="s">
        <v>1374</v>
      </c>
      <c r="G499" s="1">
        <v>41296</v>
      </c>
      <c r="I499" t="s">
        <v>222</v>
      </c>
      <c r="J499" t="s">
        <v>188</v>
      </c>
      <c r="K499" t="s">
        <v>189</v>
      </c>
      <c r="Y499" t="str">
        <f>"2021-11-16T00:00:00"</f>
        <v>2021-11-16T00:00:00</v>
      </c>
      <c r="Z499" t="str">
        <f>"55"</f>
        <v>55</v>
      </c>
      <c r="AA499" t="s">
        <v>835</v>
      </c>
      <c r="AC499" t="s">
        <v>225</v>
      </c>
      <c r="AD499" t="s">
        <v>615</v>
      </c>
      <c r="AE499" t="s">
        <v>413</v>
      </c>
      <c r="AF499" t="s">
        <v>194</v>
      </c>
      <c r="AH499" t="s">
        <v>195</v>
      </c>
      <c r="AI499">
        <v>3</v>
      </c>
      <c r="AJ499" t="s">
        <v>196</v>
      </c>
      <c r="AK499" t="s">
        <v>194</v>
      </c>
      <c r="AL499" t="s">
        <v>197</v>
      </c>
      <c r="AM499" t="s">
        <v>198</v>
      </c>
      <c r="AR499" t="s">
        <v>194</v>
      </c>
      <c r="AS499" t="s">
        <v>199</v>
      </c>
      <c r="AU499" t="s">
        <v>197</v>
      </c>
      <c r="AZ499" t="s">
        <v>214</v>
      </c>
      <c r="BA499" t="s">
        <v>996</v>
      </c>
      <c r="BB499" t="s">
        <v>201</v>
      </c>
      <c r="BD499" t="s">
        <v>1172</v>
      </c>
      <c r="BE499" t="s">
        <v>229</v>
      </c>
      <c r="BF499" t="s">
        <v>197</v>
      </c>
      <c r="BG499" t="s">
        <v>230</v>
      </c>
      <c r="BH499" t="s">
        <v>307</v>
      </c>
      <c r="BJ499" t="s">
        <v>205</v>
      </c>
      <c r="BK499" t="s">
        <v>206</v>
      </c>
      <c r="BL499" t="s">
        <v>194</v>
      </c>
      <c r="BQ499" t="s">
        <v>1125</v>
      </c>
      <c r="BR499" t="s">
        <v>232</v>
      </c>
      <c r="BT499" t="s">
        <v>197</v>
      </c>
      <c r="BV499" t="s">
        <v>233</v>
      </c>
      <c r="CA499" t="s">
        <v>194</v>
      </c>
      <c r="CB499" t="s">
        <v>214</v>
      </c>
      <c r="CF499" t="s">
        <v>215</v>
      </c>
      <c r="CH499" t="s">
        <v>214</v>
      </c>
      <c r="CI499" t="s">
        <v>214</v>
      </c>
      <c r="CJ499" t="s">
        <v>214</v>
      </c>
      <c r="CP499" t="s">
        <v>214</v>
      </c>
      <c r="CS499" t="s">
        <v>216</v>
      </c>
      <c r="CV499" t="s">
        <v>214</v>
      </c>
      <c r="CW499" t="s">
        <v>214</v>
      </c>
      <c r="CX499" t="s">
        <v>217</v>
      </c>
      <c r="CY499" t="s">
        <v>214</v>
      </c>
      <c r="DA499" t="s">
        <v>218</v>
      </c>
    </row>
    <row r="500" spans="1:105" x14ac:dyDescent="0.3">
      <c r="A500">
        <v>20316810</v>
      </c>
      <c r="B500">
        <v>9981849</v>
      </c>
      <c r="C500" t="str">
        <f>"150728603636"</f>
        <v>150728603636</v>
      </c>
      <c r="D500" t="s">
        <v>1376</v>
      </c>
      <c r="E500" t="s">
        <v>1377</v>
      </c>
      <c r="F500" t="s">
        <v>1344</v>
      </c>
      <c r="G500" s="1">
        <v>42213</v>
      </c>
      <c r="I500" t="s">
        <v>222</v>
      </c>
      <c r="J500" t="s">
        <v>188</v>
      </c>
      <c r="K500" t="s">
        <v>345</v>
      </c>
      <c r="Y500" t="str">
        <f>"2021-08-24T00:00:00"</f>
        <v>2021-08-24T00:00:00</v>
      </c>
      <c r="Z500" t="str">
        <f>"29"</f>
        <v>29</v>
      </c>
      <c r="AA500" t="s">
        <v>224</v>
      </c>
      <c r="AC500" t="s">
        <v>191</v>
      </c>
      <c r="AD500" t="s">
        <v>899</v>
      </c>
      <c r="AE500" t="s">
        <v>193</v>
      </c>
      <c r="AF500" t="s">
        <v>194</v>
      </c>
      <c r="AH500" t="s">
        <v>195</v>
      </c>
      <c r="AI500">
        <v>1</v>
      </c>
      <c r="AJ500" t="s">
        <v>196</v>
      </c>
      <c r="AK500" t="s">
        <v>194</v>
      </c>
      <c r="AL500" t="s">
        <v>197</v>
      </c>
      <c r="AM500" t="s">
        <v>198</v>
      </c>
      <c r="AR500" t="s">
        <v>194</v>
      </c>
      <c r="AS500" t="s">
        <v>199</v>
      </c>
      <c r="AU500" t="s">
        <v>197</v>
      </c>
      <c r="AZ500" t="s">
        <v>214</v>
      </c>
      <c r="BA500" t="s">
        <v>996</v>
      </c>
      <c r="BB500" t="s">
        <v>201</v>
      </c>
      <c r="BD500" t="s">
        <v>1172</v>
      </c>
      <c r="BE500" t="s">
        <v>900</v>
      </c>
      <c r="BF500" t="s">
        <v>197</v>
      </c>
      <c r="BJ500" t="s">
        <v>205</v>
      </c>
      <c r="BK500" t="s">
        <v>206</v>
      </c>
      <c r="BL500" t="s">
        <v>194</v>
      </c>
      <c r="BO500" t="s">
        <v>216</v>
      </c>
      <c r="BP500" t="s">
        <v>216</v>
      </c>
      <c r="BQ500" t="s">
        <v>280</v>
      </c>
      <c r="BR500" t="s">
        <v>232</v>
      </c>
      <c r="BT500" t="s">
        <v>197</v>
      </c>
      <c r="BV500" t="s">
        <v>233</v>
      </c>
      <c r="CA500" t="s">
        <v>194</v>
      </c>
      <c r="CB500" t="s">
        <v>214</v>
      </c>
      <c r="CF500" t="s">
        <v>215</v>
      </c>
      <c r="CH500" t="s">
        <v>214</v>
      </c>
      <c r="CI500" t="s">
        <v>214</v>
      </c>
      <c r="CJ500" t="s">
        <v>214</v>
      </c>
      <c r="CP500" t="s">
        <v>214</v>
      </c>
      <c r="CS500" t="s">
        <v>216</v>
      </c>
      <c r="CV500" t="s">
        <v>214</v>
      </c>
      <c r="CW500" t="s">
        <v>214</v>
      </c>
      <c r="CX500" t="s">
        <v>217</v>
      </c>
      <c r="CY500" t="s">
        <v>214</v>
      </c>
      <c r="DA500" t="s">
        <v>218</v>
      </c>
    </row>
    <row r="501" spans="1:105" x14ac:dyDescent="0.3">
      <c r="A501">
        <v>21657383</v>
      </c>
      <c r="B501">
        <v>6039072</v>
      </c>
      <c r="C501" t="str">
        <f>"070416552065"</f>
        <v>070416552065</v>
      </c>
      <c r="D501" t="s">
        <v>1378</v>
      </c>
      <c r="E501" t="s">
        <v>847</v>
      </c>
      <c r="F501" t="s">
        <v>1379</v>
      </c>
      <c r="G501" s="1">
        <v>39188</v>
      </c>
      <c r="I501" t="s">
        <v>187</v>
      </c>
      <c r="J501" t="s">
        <v>188</v>
      </c>
      <c r="K501" t="s">
        <v>189</v>
      </c>
      <c r="Y501" t="str">
        <f>"2021-12-03T00:00:00"</f>
        <v>2021-12-03T00:00:00</v>
      </c>
      <c r="Z501" t="str">
        <f>"60"</f>
        <v>60</v>
      </c>
      <c r="AA501" t="s">
        <v>835</v>
      </c>
      <c r="AB501" t="str">
        <f>"32mektep@mail.ru"</f>
        <v>32mektep@mail.ru</v>
      </c>
      <c r="AC501" t="s">
        <v>225</v>
      </c>
      <c r="AD501" t="s">
        <v>192</v>
      </c>
      <c r="AE501" t="s">
        <v>193</v>
      </c>
      <c r="AF501" t="s">
        <v>194</v>
      </c>
      <c r="AH501" t="s">
        <v>195</v>
      </c>
      <c r="AI501">
        <v>3</v>
      </c>
      <c r="AJ501" t="s">
        <v>196</v>
      </c>
      <c r="AK501" t="s">
        <v>194</v>
      </c>
      <c r="AL501" t="s">
        <v>197</v>
      </c>
      <c r="AM501" t="s">
        <v>198</v>
      </c>
      <c r="AR501" t="s">
        <v>194</v>
      </c>
      <c r="AS501" t="s">
        <v>199</v>
      </c>
      <c r="AU501" t="s">
        <v>197</v>
      </c>
      <c r="AZ501" t="s">
        <v>214</v>
      </c>
      <c r="BA501" t="s">
        <v>996</v>
      </c>
      <c r="BB501" t="s">
        <v>201</v>
      </c>
      <c r="BD501" t="s">
        <v>1172</v>
      </c>
      <c r="BE501" t="s">
        <v>202</v>
      </c>
      <c r="BF501" t="s">
        <v>197</v>
      </c>
      <c r="BG501" t="s">
        <v>339</v>
      </c>
      <c r="BH501" t="s">
        <v>318</v>
      </c>
      <c r="BJ501" t="s">
        <v>205</v>
      </c>
      <c r="BK501" t="s">
        <v>206</v>
      </c>
      <c r="BL501" t="s">
        <v>194</v>
      </c>
      <c r="BR501" t="s">
        <v>232</v>
      </c>
      <c r="BT501" t="s">
        <v>197</v>
      </c>
      <c r="BV501" t="s">
        <v>233</v>
      </c>
      <c r="CA501" t="s">
        <v>194</v>
      </c>
      <c r="CB501" t="s">
        <v>214</v>
      </c>
      <c r="CF501" t="s">
        <v>215</v>
      </c>
      <c r="CH501" t="s">
        <v>214</v>
      </c>
      <c r="CI501" t="s">
        <v>214</v>
      </c>
      <c r="CJ501" t="s">
        <v>214</v>
      </c>
      <c r="CP501" t="s">
        <v>214</v>
      </c>
      <c r="CS501" t="s">
        <v>216</v>
      </c>
      <c r="CV501" t="s">
        <v>214</v>
      </c>
      <c r="CW501" t="s">
        <v>214</v>
      </c>
      <c r="CX501" t="s">
        <v>217</v>
      </c>
      <c r="CY501" t="s">
        <v>214</v>
      </c>
      <c r="DA501" t="s">
        <v>218</v>
      </c>
    </row>
    <row r="502" spans="1:105" x14ac:dyDescent="0.3">
      <c r="A502">
        <v>21691266</v>
      </c>
      <c r="B502">
        <v>935090</v>
      </c>
      <c r="C502" t="str">
        <f>"051005650906"</f>
        <v>051005650906</v>
      </c>
      <c r="D502" t="s">
        <v>828</v>
      </c>
      <c r="E502" t="s">
        <v>258</v>
      </c>
      <c r="F502" t="s">
        <v>1380</v>
      </c>
      <c r="G502" s="1">
        <v>38630</v>
      </c>
      <c r="I502" t="s">
        <v>222</v>
      </c>
      <c r="J502" t="s">
        <v>188</v>
      </c>
      <c r="K502" t="s">
        <v>223</v>
      </c>
      <c r="Y502" t="str">
        <f>"2021-11-25T00:00:00"</f>
        <v>2021-11-25T00:00:00</v>
      </c>
      <c r="Z502" t="str">
        <f>"58"</f>
        <v>58</v>
      </c>
      <c r="AA502" t="s">
        <v>835</v>
      </c>
      <c r="AB502" t="str">
        <f>"akm_arshalu_novoaleksandrovka@mail.ru"</f>
        <v>akm_arshalu_novoaleksandrovka@mail.ru</v>
      </c>
      <c r="AC502" t="s">
        <v>237</v>
      </c>
      <c r="AD502" t="s">
        <v>1217</v>
      </c>
      <c r="AE502" t="s">
        <v>227</v>
      </c>
      <c r="AF502" t="s">
        <v>194</v>
      </c>
      <c r="AH502" t="s">
        <v>195</v>
      </c>
      <c r="AI502">
        <v>3</v>
      </c>
      <c r="AJ502" t="s">
        <v>196</v>
      </c>
      <c r="AK502" t="s">
        <v>194</v>
      </c>
      <c r="AL502" t="s">
        <v>197</v>
      </c>
      <c r="AM502" t="s">
        <v>198</v>
      </c>
      <c r="AR502" t="s">
        <v>214</v>
      </c>
      <c r="AU502" t="s">
        <v>197</v>
      </c>
      <c r="AZ502" t="s">
        <v>214</v>
      </c>
      <c r="BA502" t="s">
        <v>996</v>
      </c>
      <c r="BB502" t="s">
        <v>201</v>
      </c>
      <c r="BD502" t="s">
        <v>1172</v>
      </c>
      <c r="BE502" t="s">
        <v>202</v>
      </c>
      <c r="BF502" t="s">
        <v>197</v>
      </c>
      <c r="BG502" t="s">
        <v>339</v>
      </c>
      <c r="BH502" t="s">
        <v>318</v>
      </c>
      <c r="BJ502" t="s">
        <v>205</v>
      </c>
      <c r="BK502" t="s">
        <v>206</v>
      </c>
      <c r="BL502" t="s">
        <v>194</v>
      </c>
      <c r="BR502" t="s">
        <v>232</v>
      </c>
      <c r="BT502" t="s">
        <v>197</v>
      </c>
      <c r="BV502" t="s">
        <v>233</v>
      </c>
      <c r="CA502" t="s">
        <v>194</v>
      </c>
      <c r="CB502" t="s">
        <v>214</v>
      </c>
      <c r="CF502" t="s">
        <v>215</v>
      </c>
      <c r="CH502" t="s">
        <v>214</v>
      </c>
      <c r="CI502" t="s">
        <v>214</v>
      </c>
      <c r="CJ502" t="s">
        <v>214</v>
      </c>
      <c r="CP502" t="s">
        <v>214</v>
      </c>
      <c r="CS502" t="s">
        <v>216</v>
      </c>
      <c r="CV502" t="s">
        <v>214</v>
      </c>
      <c r="CW502" t="s">
        <v>214</v>
      </c>
      <c r="CX502" t="s">
        <v>217</v>
      </c>
      <c r="CY502" t="s">
        <v>214</v>
      </c>
      <c r="DA502" t="s">
        <v>218</v>
      </c>
    </row>
    <row r="503" spans="1:105" x14ac:dyDescent="0.3">
      <c r="A503">
        <v>21791594</v>
      </c>
      <c r="B503">
        <v>6152251</v>
      </c>
      <c r="C503" t="str">
        <f>"090120550315"</f>
        <v>090120550315</v>
      </c>
      <c r="D503" t="s">
        <v>1381</v>
      </c>
      <c r="E503" t="s">
        <v>363</v>
      </c>
      <c r="F503" t="s">
        <v>1382</v>
      </c>
      <c r="G503" s="1">
        <v>39833</v>
      </c>
      <c r="I503" t="s">
        <v>187</v>
      </c>
      <c r="J503" t="s">
        <v>188</v>
      </c>
      <c r="K503" t="s">
        <v>223</v>
      </c>
      <c r="Y503" t="str">
        <f>"2021-12-03T00:00:00"</f>
        <v>2021-12-03T00:00:00</v>
      </c>
      <c r="Z503" t="str">
        <f>"60"</f>
        <v>60</v>
      </c>
      <c r="AA503" t="s">
        <v>835</v>
      </c>
      <c r="AC503" t="s">
        <v>255</v>
      </c>
      <c r="AD503" t="s">
        <v>242</v>
      </c>
      <c r="AE503" t="s">
        <v>413</v>
      </c>
      <c r="AF503" t="s">
        <v>194</v>
      </c>
      <c r="AH503" t="s">
        <v>195</v>
      </c>
      <c r="AI503">
        <v>3</v>
      </c>
      <c r="AJ503" t="s">
        <v>196</v>
      </c>
      <c r="AK503" t="s">
        <v>194</v>
      </c>
      <c r="AL503" t="s">
        <v>197</v>
      </c>
      <c r="AM503" t="s">
        <v>198</v>
      </c>
      <c r="AR503" t="s">
        <v>194</v>
      </c>
      <c r="AS503" t="s">
        <v>199</v>
      </c>
      <c r="AU503" t="s">
        <v>197</v>
      </c>
      <c r="AZ503" t="s">
        <v>214</v>
      </c>
      <c r="BA503" t="s">
        <v>996</v>
      </c>
      <c r="BB503" t="s">
        <v>201</v>
      </c>
      <c r="BD503" t="s">
        <v>1172</v>
      </c>
      <c r="BE503" t="s">
        <v>202</v>
      </c>
      <c r="BF503" t="s">
        <v>197</v>
      </c>
      <c r="BG503" t="s">
        <v>230</v>
      </c>
      <c r="BH503" t="s">
        <v>420</v>
      </c>
      <c r="BJ503" t="s">
        <v>205</v>
      </c>
      <c r="BK503" t="s">
        <v>206</v>
      </c>
      <c r="BL503" t="s">
        <v>194</v>
      </c>
      <c r="BR503" t="s">
        <v>232</v>
      </c>
      <c r="BT503" t="s">
        <v>1218</v>
      </c>
      <c r="BU503" t="s">
        <v>1205</v>
      </c>
      <c r="BV503" t="s">
        <v>233</v>
      </c>
      <c r="CA503" t="s">
        <v>194</v>
      </c>
      <c r="CB503" t="s">
        <v>214</v>
      </c>
      <c r="CF503" t="s">
        <v>215</v>
      </c>
      <c r="CH503" t="s">
        <v>214</v>
      </c>
      <c r="CI503" t="s">
        <v>214</v>
      </c>
      <c r="CJ503" t="s">
        <v>214</v>
      </c>
      <c r="CP503" t="s">
        <v>214</v>
      </c>
      <c r="CS503" t="s">
        <v>216</v>
      </c>
      <c r="CV503" t="s">
        <v>214</v>
      </c>
      <c r="CW503" t="s">
        <v>214</v>
      </c>
      <c r="CX503" t="s">
        <v>217</v>
      </c>
      <c r="CY503" t="s">
        <v>214</v>
      </c>
      <c r="DA503" t="s">
        <v>218</v>
      </c>
    </row>
    <row r="504" spans="1:105" x14ac:dyDescent="0.3">
      <c r="A504">
        <v>20316923</v>
      </c>
      <c r="B504">
        <v>11729333</v>
      </c>
      <c r="C504" t="str">
        <f>"141001505575"</f>
        <v>141001505575</v>
      </c>
      <c r="D504" t="s">
        <v>1274</v>
      </c>
      <c r="E504" t="s">
        <v>1383</v>
      </c>
      <c r="F504" t="s">
        <v>556</v>
      </c>
      <c r="G504" s="1">
        <v>41913</v>
      </c>
      <c r="I504" t="s">
        <v>187</v>
      </c>
      <c r="J504" t="s">
        <v>188</v>
      </c>
      <c r="K504" t="s">
        <v>189</v>
      </c>
      <c r="Y504" t="str">
        <f>"2021-08-24T00:00:00"</f>
        <v>2021-08-24T00:00:00</v>
      </c>
      <c r="Z504" t="str">
        <f>"29"</f>
        <v>29</v>
      </c>
      <c r="AA504" t="s">
        <v>835</v>
      </c>
      <c r="AC504" t="s">
        <v>225</v>
      </c>
      <c r="AD504" t="s">
        <v>899</v>
      </c>
      <c r="AE504" t="s">
        <v>193</v>
      </c>
      <c r="AF504" t="s">
        <v>194</v>
      </c>
      <c r="AH504" t="s">
        <v>195</v>
      </c>
      <c r="AI504">
        <v>1</v>
      </c>
      <c r="AJ504" t="s">
        <v>196</v>
      </c>
      <c r="AK504" t="s">
        <v>194</v>
      </c>
      <c r="AL504" t="s">
        <v>197</v>
      </c>
      <c r="AM504" t="s">
        <v>198</v>
      </c>
      <c r="AR504" t="s">
        <v>194</v>
      </c>
      <c r="AS504" t="s">
        <v>199</v>
      </c>
      <c r="AU504" t="s">
        <v>197</v>
      </c>
      <c r="AZ504" t="s">
        <v>214</v>
      </c>
      <c r="BA504" t="s">
        <v>996</v>
      </c>
      <c r="BB504" t="s">
        <v>201</v>
      </c>
      <c r="BD504" t="s">
        <v>1172</v>
      </c>
      <c r="BE504" t="s">
        <v>900</v>
      </c>
      <c r="BF504" t="s">
        <v>197</v>
      </c>
      <c r="BJ504" t="s">
        <v>205</v>
      </c>
      <c r="BK504" t="s">
        <v>206</v>
      </c>
      <c r="BL504" t="s">
        <v>194</v>
      </c>
      <c r="BQ504" t="s">
        <v>280</v>
      </c>
      <c r="BR504" t="s">
        <v>232</v>
      </c>
      <c r="BT504" t="s">
        <v>197</v>
      </c>
      <c r="BV504" t="s">
        <v>233</v>
      </c>
      <c r="CA504" t="s">
        <v>194</v>
      </c>
      <c r="CB504" t="s">
        <v>214</v>
      </c>
      <c r="CF504" t="s">
        <v>215</v>
      </c>
      <c r="CH504" t="s">
        <v>214</v>
      </c>
      <c r="CI504" t="s">
        <v>214</v>
      </c>
      <c r="CJ504" t="s">
        <v>214</v>
      </c>
      <c r="CP504" t="s">
        <v>194</v>
      </c>
      <c r="CQ504" t="str">
        <f>"2017-04-04T00:00:00"</f>
        <v>2017-04-04T00:00:00</v>
      </c>
      <c r="CS504" t="s">
        <v>216</v>
      </c>
      <c r="CV504" t="s">
        <v>214</v>
      </c>
      <c r="CW504" t="s">
        <v>214</v>
      </c>
      <c r="CX504" t="s">
        <v>217</v>
      </c>
      <c r="CY504" t="s">
        <v>214</v>
      </c>
      <c r="DA504" t="s">
        <v>218</v>
      </c>
    </row>
    <row r="505" spans="1:105" x14ac:dyDescent="0.3">
      <c r="A505">
        <v>20316980</v>
      </c>
      <c r="B505">
        <v>11729341</v>
      </c>
      <c r="C505" t="str">
        <f>"130729601562"</f>
        <v>130729601562</v>
      </c>
      <c r="D505" t="s">
        <v>812</v>
      </c>
      <c r="E505" t="s">
        <v>1384</v>
      </c>
      <c r="F505" t="s">
        <v>336</v>
      </c>
      <c r="G505" s="1">
        <v>41484</v>
      </c>
      <c r="I505" t="s">
        <v>222</v>
      </c>
      <c r="J505" t="s">
        <v>188</v>
      </c>
      <c r="K505" t="s">
        <v>223</v>
      </c>
      <c r="Y505" t="str">
        <f>"2021-08-24T00:00:00"</f>
        <v>2021-08-24T00:00:00</v>
      </c>
      <c r="Z505" t="str">
        <f>"29"</f>
        <v>29</v>
      </c>
      <c r="AA505" t="s">
        <v>224</v>
      </c>
      <c r="AC505" t="s">
        <v>191</v>
      </c>
      <c r="AD505" t="s">
        <v>899</v>
      </c>
      <c r="AE505" t="s">
        <v>193</v>
      </c>
      <c r="AF505" t="s">
        <v>194</v>
      </c>
      <c r="AH505" t="s">
        <v>195</v>
      </c>
      <c r="AI505">
        <v>1</v>
      </c>
      <c r="AJ505" t="s">
        <v>196</v>
      </c>
      <c r="AK505" t="s">
        <v>194</v>
      </c>
      <c r="AL505" t="s">
        <v>197</v>
      </c>
      <c r="AM505" t="s">
        <v>811</v>
      </c>
      <c r="AR505" t="s">
        <v>214</v>
      </c>
      <c r="AU505" t="s">
        <v>197</v>
      </c>
      <c r="AZ505" t="s">
        <v>214</v>
      </c>
      <c r="BA505" t="s">
        <v>996</v>
      </c>
      <c r="BB505" t="s">
        <v>201</v>
      </c>
      <c r="BD505" t="s">
        <v>1172</v>
      </c>
      <c r="BE505" t="s">
        <v>900</v>
      </c>
      <c r="BF505" t="s">
        <v>197</v>
      </c>
      <c r="BJ505" t="s">
        <v>205</v>
      </c>
      <c r="BK505" t="s">
        <v>206</v>
      </c>
      <c r="BL505" t="s">
        <v>194</v>
      </c>
      <c r="BQ505" t="s">
        <v>280</v>
      </c>
      <c r="BR505" t="s">
        <v>232</v>
      </c>
      <c r="BT505" t="s">
        <v>197</v>
      </c>
      <c r="BV505" t="s">
        <v>233</v>
      </c>
      <c r="CA505" t="s">
        <v>194</v>
      </c>
      <c r="CB505" t="s">
        <v>214</v>
      </c>
      <c r="CF505" t="s">
        <v>215</v>
      </c>
      <c r="CH505" t="s">
        <v>214</v>
      </c>
      <c r="CI505" t="s">
        <v>214</v>
      </c>
      <c r="CJ505" t="s">
        <v>214</v>
      </c>
      <c r="CP505" t="s">
        <v>214</v>
      </c>
      <c r="CS505" t="s">
        <v>216</v>
      </c>
      <c r="CV505" t="s">
        <v>214</v>
      </c>
      <c r="CW505" t="s">
        <v>214</v>
      </c>
      <c r="CX505" t="s">
        <v>217</v>
      </c>
      <c r="CY505" t="s">
        <v>214</v>
      </c>
      <c r="DA505" t="s">
        <v>218</v>
      </c>
    </row>
    <row r="506" spans="1:105" x14ac:dyDescent="0.3">
      <c r="A506">
        <v>20317046</v>
      </c>
      <c r="B506">
        <v>11729352</v>
      </c>
      <c r="C506" t="str">
        <f>"130729601572"</f>
        <v>130729601572</v>
      </c>
      <c r="D506" t="s">
        <v>812</v>
      </c>
      <c r="E506" t="s">
        <v>1059</v>
      </c>
      <c r="F506" t="s">
        <v>336</v>
      </c>
      <c r="G506" s="1">
        <v>41484</v>
      </c>
      <c r="I506" t="s">
        <v>222</v>
      </c>
      <c r="J506" t="s">
        <v>188</v>
      </c>
      <c r="K506" t="s">
        <v>223</v>
      </c>
      <c r="Y506" t="str">
        <f>"2021-08-24T00:00:00"</f>
        <v>2021-08-24T00:00:00</v>
      </c>
      <c r="Z506" t="str">
        <f>"29"</f>
        <v>29</v>
      </c>
      <c r="AA506" t="s">
        <v>224</v>
      </c>
      <c r="AC506" t="s">
        <v>191</v>
      </c>
      <c r="AD506" t="s">
        <v>899</v>
      </c>
      <c r="AE506" t="s">
        <v>193</v>
      </c>
      <c r="AF506" t="s">
        <v>194</v>
      </c>
      <c r="AH506" t="s">
        <v>195</v>
      </c>
      <c r="AI506">
        <v>1</v>
      </c>
      <c r="AJ506" t="s">
        <v>196</v>
      </c>
      <c r="AK506" t="s">
        <v>194</v>
      </c>
      <c r="AL506" t="s">
        <v>197</v>
      </c>
      <c r="AM506" t="s">
        <v>811</v>
      </c>
      <c r="AR506" t="s">
        <v>214</v>
      </c>
      <c r="AU506" t="s">
        <v>197</v>
      </c>
      <c r="AZ506" t="s">
        <v>214</v>
      </c>
      <c r="BA506" t="s">
        <v>996</v>
      </c>
      <c r="BB506" t="s">
        <v>201</v>
      </c>
      <c r="BD506" t="s">
        <v>1172</v>
      </c>
      <c r="BE506" t="s">
        <v>900</v>
      </c>
      <c r="BF506" t="s">
        <v>197</v>
      </c>
      <c r="BJ506" t="s">
        <v>205</v>
      </c>
      <c r="BK506" t="s">
        <v>206</v>
      </c>
      <c r="BL506" t="s">
        <v>194</v>
      </c>
      <c r="BQ506" t="s">
        <v>280</v>
      </c>
      <c r="BR506" t="s">
        <v>232</v>
      </c>
      <c r="BT506" t="s">
        <v>197</v>
      </c>
      <c r="BV506" t="s">
        <v>233</v>
      </c>
      <c r="CA506" t="s">
        <v>194</v>
      </c>
      <c r="CB506" t="s">
        <v>214</v>
      </c>
      <c r="CF506" t="s">
        <v>215</v>
      </c>
      <c r="CH506" t="s">
        <v>214</v>
      </c>
      <c r="CI506" t="s">
        <v>214</v>
      </c>
      <c r="CJ506" t="s">
        <v>214</v>
      </c>
      <c r="CP506" t="s">
        <v>214</v>
      </c>
      <c r="CS506" t="s">
        <v>216</v>
      </c>
      <c r="CV506" t="s">
        <v>214</v>
      </c>
      <c r="CW506" t="s">
        <v>214</v>
      </c>
      <c r="CX506" t="s">
        <v>217</v>
      </c>
      <c r="CY506" t="s">
        <v>214</v>
      </c>
      <c r="DA506" t="s">
        <v>218</v>
      </c>
    </row>
    <row r="507" spans="1:105" x14ac:dyDescent="0.3">
      <c r="A507">
        <v>20317187</v>
      </c>
      <c r="B507">
        <v>955406</v>
      </c>
      <c r="C507" t="str">
        <f>"141127603679"</f>
        <v>141127603679</v>
      </c>
      <c r="D507" t="s">
        <v>1385</v>
      </c>
      <c r="E507" t="s">
        <v>1386</v>
      </c>
      <c r="F507" t="s">
        <v>1387</v>
      </c>
      <c r="G507" s="1">
        <v>41970</v>
      </c>
      <c r="I507" t="s">
        <v>222</v>
      </c>
      <c r="J507" t="s">
        <v>188</v>
      </c>
      <c r="K507" t="s">
        <v>189</v>
      </c>
      <c r="Y507" t="str">
        <f>"2021-08-24T00:00:00"</f>
        <v>2021-08-24T00:00:00</v>
      </c>
      <c r="Z507" t="str">
        <f>"29"</f>
        <v>29</v>
      </c>
      <c r="AA507" t="s">
        <v>224</v>
      </c>
      <c r="AC507" t="s">
        <v>191</v>
      </c>
      <c r="AD507" t="s">
        <v>899</v>
      </c>
      <c r="AE507" t="s">
        <v>193</v>
      </c>
      <c r="AF507" t="s">
        <v>194</v>
      </c>
      <c r="AH507" t="s">
        <v>195</v>
      </c>
      <c r="AI507">
        <v>1</v>
      </c>
      <c r="AJ507" t="s">
        <v>196</v>
      </c>
      <c r="AK507" t="s">
        <v>194</v>
      </c>
      <c r="AL507" t="s">
        <v>197</v>
      </c>
      <c r="AM507" t="s">
        <v>198</v>
      </c>
      <c r="AR507" t="s">
        <v>214</v>
      </c>
      <c r="AU507" t="s">
        <v>197</v>
      </c>
      <c r="AZ507" t="s">
        <v>214</v>
      </c>
      <c r="BA507" t="s">
        <v>996</v>
      </c>
      <c r="BB507" t="s">
        <v>672</v>
      </c>
      <c r="BD507" t="s">
        <v>1172</v>
      </c>
      <c r="BE507" t="s">
        <v>900</v>
      </c>
      <c r="BF507" t="s">
        <v>197</v>
      </c>
      <c r="BJ507" t="s">
        <v>205</v>
      </c>
      <c r="BK507" t="s">
        <v>206</v>
      </c>
      <c r="BL507" t="s">
        <v>194</v>
      </c>
      <c r="BQ507" t="s">
        <v>280</v>
      </c>
      <c r="BR507" t="s">
        <v>232</v>
      </c>
      <c r="BT507" t="s">
        <v>197</v>
      </c>
      <c r="BV507" t="s">
        <v>233</v>
      </c>
      <c r="CA507" t="s">
        <v>194</v>
      </c>
      <c r="CB507" t="s">
        <v>214</v>
      </c>
      <c r="CF507" t="s">
        <v>215</v>
      </c>
      <c r="CH507" t="s">
        <v>214</v>
      </c>
      <c r="CI507" t="s">
        <v>214</v>
      </c>
      <c r="CJ507" t="s">
        <v>214</v>
      </c>
      <c r="CP507" t="s">
        <v>214</v>
      </c>
      <c r="CS507" t="s">
        <v>216</v>
      </c>
      <c r="CV507" t="s">
        <v>214</v>
      </c>
      <c r="CW507" t="s">
        <v>214</v>
      </c>
      <c r="CX507" t="s">
        <v>217</v>
      </c>
      <c r="CY507" t="s">
        <v>214</v>
      </c>
      <c r="DA507" t="s">
        <v>218</v>
      </c>
    </row>
    <row r="508" spans="1:105" x14ac:dyDescent="0.3">
      <c r="A508">
        <v>20317259</v>
      </c>
      <c r="B508">
        <v>11729389</v>
      </c>
      <c r="C508" t="str">
        <f>"150722604215"</f>
        <v>150722604215</v>
      </c>
      <c r="D508" t="s">
        <v>1388</v>
      </c>
      <c r="E508" t="s">
        <v>1234</v>
      </c>
      <c r="G508" s="1">
        <v>42207</v>
      </c>
      <c r="I508" t="s">
        <v>222</v>
      </c>
      <c r="J508" t="s">
        <v>188</v>
      </c>
      <c r="K508" t="s">
        <v>189</v>
      </c>
      <c r="Y508" t="str">
        <f>"2021-08-24T00:00:00"</f>
        <v>2021-08-24T00:00:00</v>
      </c>
      <c r="Z508" t="str">
        <f>"29"</f>
        <v>29</v>
      </c>
      <c r="AA508" t="s">
        <v>224</v>
      </c>
      <c r="AC508" t="s">
        <v>225</v>
      </c>
      <c r="AD508" t="s">
        <v>899</v>
      </c>
      <c r="AE508" t="s">
        <v>193</v>
      </c>
      <c r="AF508" t="s">
        <v>194</v>
      </c>
      <c r="AH508" t="s">
        <v>195</v>
      </c>
      <c r="AI508">
        <v>1</v>
      </c>
      <c r="AJ508" t="s">
        <v>196</v>
      </c>
      <c r="AK508" t="s">
        <v>194</v>
      </c>
      <c r="AL508" t="s">
        <v>197</v>
      </c>
      <c r="AM508" t="s">
        <v>198</v>
      </c>
      <c r="AR508" t="s">
        <v>194</v>
      </c>
      <c r="AS508" t="s">
        <v>199</v>
      </c>
      <c r="AU508" t="s">
        <v>197</v>
      </c>
      <c r="AZ508" t="s">
        <v>214</v>
      </c>
      <c r="BA508" t="s">
        <v>996</v>
      </c>
      <c r="BB508" t="s">
        <v>201</v>
      </c>
      <c r="BD508" t="s">
        <v>1172</v>
      </c>
      <c r="BE508" t="s">
        <v>900</v>
      </c>
      <c r="BF508" t="s">
        <v>197</v>
      </c>
      <c r="BJ508" t="s">
        <v>205</v>
      </c>
      <c r="BK508" t="s">
        <v>206</v>
      </c>
      <c r="BL508" t="s">
        <v>194</v>
      </c>
      <c r="BQ508" t="s">
        <v>280</v>
      </c>
      <c r="BR508" t="s">
        <v>232</v>
      </c>
      <c r="BT508" t="s">
        <v>197</v>
      </c>
      <c r="BV508" t="s">
        <v>233</v>
      </c>
      <c r="CA508" t="s">
        <v>194</v>
      </c>
      <c r="CB508" t="s">
        <v>214</v>
      </c>
      <c r="CF508" t="s">
        <v>215</v>
      </c>
      <c r="CH508" t="s">
        <v>214</v>
      </c>
      <c r="CI508" t="s">
        <v>214</v>
      </c>
      <c r="CJ508" t="s">
        <v>214</v>
      </c>
      <c r="CP508" t="s">
        <v>214</v>
      </c>
      <c r="CS508" t="s">
        <v>216</v>
      </c>
      <c r="CV508" t="s">
        <v>214</v>
      </c>
      <c r="CW508" t="s">
        <v>214</v>
      </c>
      <c r="CX508" t="s">
        <v>217</v>
      </c>
      <c r="CY508" t="s">
        <v>214</v>
      </c>
      <c r="DA508" t="s">
        <v>218</v>
      </c>
    </row>
    <row r="509" spans="1:105" x14ac:dyDescent="0.3">
      <c r="A509">
        <v>21836938</v>
      </c>
      <c r="B509">
        <v>8996850</v>
      </c>
      <c r="C509" t="str">
        <f>"150529504021"</f>
        <v>150529504021</v>
      </c>
      <c r="D509" t="s">
        <v>1389</v>
      </c>
      <c r="E509" t="s">
        <v>469</v>
      </c>
      <c r="F509" t="s">
        <v>1390</v>
      </c>
      <c r="G509" s="1">
        <v>42153</v>
      </c>
      <c r="I509" t="s">
        <v>187</v>
      </c>
      <c r="J509" t="s">
        <v>188</v>
      </c>
      <c r="K509" t="s">
        <v>189</v>
      </c>
      <c r="Y509" t="str">
        <f>"2022-01-18T00:00:00"</f>
        <v>2022-01-18T00:00:00</v>
      </c>
      <c r="Z509" t="str">
        <f>"06"</f>
        <v>06</v>
      </c>
      <c r="AA509" t="s">
        <v>835</v>
      </c>
      <c r="AC509" t="s">
        <v>237</v>
      </c>
      <c r="AD509" t="s">
        <v>899</v>
      </c>
      <c r="AE509" t="s">
        <v>243</v>
      </c>
      <c r="AF509" t="s">
        <v>214</v>
      </c>
      <c r="AH509" t="s">
        <v>195</v>
      </c>
      <c r="AI509">
        <v>1</v>
      </c>
      <c r="AJ509" t="s">
        <v>196</v>
      </c>
      <c r="AK509" t="s">
        <v>194</v>
      </c>
      <c r="AL509" t="s">
        <v>197</v>
      </c>
      <c r="AM509" t="s">
        <v>198</v>
      </c>
      <c r="AR509" t="s">
        <v>194</v>
      </c>
      <c r="AS509" t="s">
        <v>199</v>
      </c>
      <c r="AU509" t="s">
        <v>197</v>
      </c>
      <c r="AZ509" t="s">
        <v>214</v>
      </c>
      <c r="BA509" t="s">
        <v>996</v>
      </c>
      <c r="BB509" t="s">
        <v>201</v>
      </c>
      <c r="BD509" t="s">
        <v>1172</v>
      </c>
      <c r="BE509" t="s">
        <v>900</v>
      </c>
      <c r="BF509" t="s">
        <v>197</v>
      </c>
      <c r="BJ509" t="s">
        <v>205</v>
      </c>
      <c r="BK509" t="s">
        <v>206</v>
      </c>
      <c r="BL509" t="s">
        <v>194</v>
      </c>
      <c r="BQ509" t="s">
        <v>280</v>
      </c>
      <c r="BR509" t="s">
        <v>232</v>
      </c>
      <c r="BT509" t="s">
        <v>197</v>
      </c>
      <c r="BV509" t="s">
        <v>233</v>
      </c>
      <c r="CA509" t="s">
        <v>194</v>
      </c>
      <c r="CB509" t="s">
        <v>214</v>
      </c>
      <c r="CF509" t="s">
        <v>215</v>
      </c>
      <c r="CH509" t="s">
        <v>214</v>
      </c>
      <c r="CI509" t="s">
        <v>214</v>
      </c>
      <c r="CJ509" t="s">
        <v>214</v>
      </c>
      <c r="CP509" t="s">
        <v>214</v>
      </c>
      <c r="CS509" t="s">
        <v>216</v>
      </c>
      <c r="CV509" t="s">
        <v>214</v>
      </c>
      <c r="CW509" t="s">
        <v>214</v>
      </c>
      <c r="CX509" t="s">
        <v>217</v>
      </c>
      <c r="CY509" t="s">
        <v>214</v>
      </c>
      <c r="DA509" t="s">
        <v>218</v>
      </c>
    </row>
    <row r="510" spans="1:105" x14ac:dyDescent="0.3">
      <c r="A510">
        <v>16573963</v>
      </c>
      <c r="B510">
        <v>956074</v>
      </c>
      <c r="C510" t="str">
        <f>"141109603443"</f>
        <v>141109603443</v>
      </c>
      <c r="D510" t="s">
        <v>370</v>
      </c>
      <c r="E510" t="s">
        <v>730</v>
      </c>
      <c r="F510" t="s">
        <v>372</v>
      </c>
      <c r="G510" s="1">
        <v>41952</v>
      </c>
      <c r="I510" t="s">
        <v>222</v>
      </c>
      <c r="J510" t="s">
        <v>188</v>
      </c>
      <c r="K510" t="s">
        <v>189</v>
      </c>
      <c r="Y510" t="str">
        <f>"2020-08-28T00:00:00"</f>
        <v>2020-08-28T00:00:00</v>
      </c>
      <c r="Z510" t="str">
        <f>"20"</f>
        <v>20</v>
      </c>
      <c r="AA510" t="s">
        <v>190</v>
      </c>
      <c r="AC510" t="s">
        <v>225</v>
      </c>
      <c r="AD510" t="s">
        <v>899</v>
      </c>
      <c r="AE510" t="s">
        <v>227</v>
      </c>
      <c r="AF510" t="s">
        <v>194</v>
      </c>
      <c r="AH510" t="s">
        <v>195</v>
      </c>
      <c r="AI510">
        <v>2</v>
      </c>
      <c r="AJ510" t="s">
        <v>196</v>
      </c>
      <c r="AK510" t="s">
        <v>194</v>
      </c>
      <c r="AL510" t="s">
        <v>197</v>
      </c>
      <c r="AM510" t="s">
        <v>198</v>
      </c>
      <c r="AR510" t="s">
        <v>194</v>
      </c>
      <c r="AS510" t="s">
        <v>199</v>
      </c>
      <c r="AU510" t="s">
        <v>197</v>
      </c>
      <c r="AZ510" t="s">
        <v>194</v>
      </c>
      <c r="BB510" t="s">
        <v>201</v>
      </c>
      <c r="BE510" t="s">
        <v>900</v>
      </c>
      <c r="BF510" t="s">
        <v>197</v>
      </c>
      <c r="BJ510" t="s">
        <v>205</v>
      </c>
      <c r="BK510" t="s">
        <v>206</v>
      </c>
      <c r="BL510" t="s">
        <v>194</v>
      </c>
      <c r="BO510" t="s">
        <v>200</v>
      </c>
      <c r="BP510" t="s">
        <v>200</v>
      </c>
      <c r="BQ510" t="s">
        <v>280</v>
      </c>
      <c r="BR510" t="s">
        <v>232</v>
      </c>
      <c r="BT510" t="s">
        <v>197</v>
      </c>
      <c r="BV510" t="s">
        <v>233</v>
      </c>
      <c r="CA510" t="s">
        <v>194</v>
      </c>
      <c r="CB510" t="s">
        <v>214</v>
      </c>
      <c r="CF510" t="s">
        <v>215</v>
      </c>
      <c r="CH510" t="s">
        <v>214</v>
      </c>
      <c r="CI510" t="s">
        <v>214</v>
      </c>
      <c r="CJ510" t="s">
        <v>214</v>
      </c>
      <c r="CP510" t="s">
        <v>214</v>
      </c>
      <c r="CS510" t="s">
        <v>216</v>
      </c>
      <c r="CV510" t="s">
        <v>214</v>
      </c>
      <c r="CW510" t="s">
        <v>214</v>
      </c>
      <c r="CX510" t="s">
        <v>217</v>
      </c>
      <c r="CY510" t="s">
        <v>214</v>
      </c>
      <c r="DA510" t="s">
        <v>218</v>
      </c>
    </row>
    <row r="511" spans="1:105" x14ac:dyDescent="0.3">
      <c r="A511">
        <v>16574213</v>
      </c>
      <c r="B511">
        <v>956137</v>
      </c>
      <c r="C511" t="str">
        <f>"141118500917"</f>
        <v>141118500917</v>
      </c>
      <c r="D511" t="s">
        <v>1391</v>
      </c>
      <c r="E511" t="s">
        <v>552</v>
      </c>
      <c r="F511" t="s">
        <v>1392</v>
      </c>
      <c r="G511" s="1">
        <v>41961</v>
      </c>
      <c r="I511" t="s">
        <v>187</v>
      </c>
      <c r="J511" t="s">
        <v>188</v>
      </c>
      <c r="K511" t="s">
        <v>223</v>
      </c>
      <c r="Y511" t="str">
        <f>"2020-08-28T00:00:00"</f>
        <v>2020-08-28T00:00:00</v>
      </c>
      <c r="Z511" t="str">
        <f>"20"</f>
        <v>20</v>
      </c>
      <c r="AA511" t="s">
        <v>190</v>
      </c>
      <c r="AC511" t="s">
        <v>225</v>
      </c>
      <c r="AD511" t="s">
        <v>899</v>
      </c>
      <c r="AE511" t="s">
        <v>193</v>
      </c>
      <c r="AF511" t="s">
        <v>194</v>
      </c>
      <c r="AH511" t="s">
        <v>195</v>
      </c>
      <c r="AI511">
        <v>2</v>
      </c>
      <c r="AJ511" t="s">
        <v>196</v>
      </c>
      <c r="AK511" t="s">
        <v>194</v>
      </c>
      <c r="AL511" t="s">
        <v>197</v>
      </c>
      <c r="AM511" t="s">
        <v>811</v>
      </c>
      <c r="AR511" t="s">
        <v>214</v>
      </c>
      <c r="AU511" t="s">
        <v>197</v>
      </c>
      <c r="AZ511" t="s">
        <v>194</v>
      </c>
      <c r="BB511" t="s">
        <v>201</v>
      </c>
      <c r="BE511" t="s">
        <v>900</v>
      </c>
      <c r="BF511" t="s">
        <v>197</v>
      </c>
      <c r="BJ511" t="s">
        <v>205</v>
      </c>
      <c r="BK511" t="s">
        <v>206</v>
      </c>
      <c r="BL511" t="s">
        <v>194</v>
      </c>
      <c r="BO511" t="s">
        <v>200</v>
      </c>
      <c r="BP511" t="s">
        <v>200</v>
      </c>
      <c r="BQ511" t="s">
        <v>286</v>
      </c>
      <c r="BR511" t="s">
        <v>232</v>
      </c>
      <c r="BT511" t="s">
        <v>197</v>
      </c>
      <c r="BV511" t="s">
        <v>233</v>
      </c>
      <c r="CA511" t="s">
        <v>194</v>
      </c>
      <c r="CB511" t="s">
        <v>214</v>
      </c>
      <c r="CF511" t="s">
        <v>215</v>
      </c>
      <c r="CH511" t="s">
        <v>214</v>
      </c>
      <c r="CI511" t="s">
        <v>214</v>
      </c>
      <c r="CJ511" t="s">
        <v>214</v>
      </c>
      <c r="CP511" t="s">
        <v>214</v>
      </c>
      <c r="CS511" t="s">
        <v>216</v>
      </c>
      <c r="CV511" t="s">
        <v>214</v>
      </c>
      <c r="CW511" t="s">
        <v>214</v>
      </c>
      <c r="CX511" t="s">
        <v>217</v>
      </c>
      <c r="CY511" t="s">
        <v>214</v>
      </c>
      <c r="DA511" t="s">
        <v>218</v>
      </c>
    </row>
    <row r="512" spans="1:105" x14ac:dyDescent="0.3">
      <c r="A512">
        <v>16634787</v>
      </c>
      <c r="B512">
        <v>6512545</v>
      </c>
      <c r="C512" t="str">
        <f>"140118504401"</f>
        <v>140118504401</v>
      </c>
      <c r="D512" t="s">
        <v>1051</v>
      </c>
      <c r="E512" t="s">
        <v>376</v>
      </c>
      <c r="F512" t="s">
        <v>316</v>
      </c>
      <c r="G512" s="1">
        <v>41657</v>
      </c>
      <c r="I512" t="s">
        <v>187</v>
      </c>
      <c r="J512" t="s">
        <v>188</v>
      </c>
      <c r="K512" t="s">
        <v>223</v>
      </c>
      <c r="Y512" t="str">
        <f>"2020-08-28T00:00:00"</f>
        <v>2020-08-28T00:00:00</v>
      </c>
      <c r="Z512" t="str">
        <f>"21"</f>
        <v>21</v>
      </c>
      <c r="AA512" t="s">
        <v>190</v>
      </c>
      <c r="AC512" t="s">
        <v>225</v>
      </c>
      <c r="AD512" t="s">
        <v>815</v>
      </c>
      <c r="AE512" t="s">
        <v>193</v>
      </c>
      <c r="AF512" t="s">
        <v>194</v>
      </c>
      <c r="AH512" t="s">
        <v>195</v>
      </c>
      <c r="AI512">
        <v>1</v>
      </c>
      <c r="AJ512" t="s">
        <v>196</v>
      </c>
      <c r="AK512" t="s">
        <v>194</v>
      </c>
      <c r="AL512" t="s">
        <v>197</v>
      </c>
      <c r="AM512" t="s">
        <v>198</v>
      </c>
      <c r="AR512" t="s">
        <v>194</v>
      </c>
      <c r="AS512" t="s">
        <v>199</v>
      </c>
      <c r="AU512" t="s">
        <v>197</v>
      </c>
      <c r="AZ512" t="s">
        <v>194</v>
      </c>
      <c r="BB512" t="s">
        <v>201</v>
      </c>
      <c r="BE512" t="s">
        <v>229</v>
      </c>
      <c r="BF512" t="s">
        <v>197</v>
      </c>
      <c r="BG512" t="s">
        <v>230</v>
      </c>
      <c r="BH512" t="s">
        <v>231</v>
      </c>
      <c r="BJ512" t="s">
        <v>205</v>
      </c>
      <c r="BK512" t="s">
        <v>206</v>
      </c>
      <c r="BL512" t="s">
        <v>194</v>
      </c>
      <c r="BO512" t="s">
        <v>200</v>
      </c>
      <c r="BP512" t="s">
        <v>200</v>
      </c>
      <c r="BQ512" t="s">
        <v>286</v>
      </c>
      <c r="BR512" t="s">
        <v>232</v>
      </c>
      <c r="BT512" t="s">
        <v>197</v>
      </c>
      <c r="BV512" t="s">
        <v>233</v>
      </c>
      <c r="CA512" t="s">
        <v>194</v>
      </c>
      <c r="CB512" t="s">
        <v>214</v>
      </c>
      <c r="CF512" t="s">
        <v>215</v>
      </c>
      <c r="CH512" t="s">
        <v>214</v>
      </c>
      <c r="CI512" t="s">
        <v>214</v>
      </c>
      <c r="CJ512" t="s">
        <v>214</v>
      </c>
      <c r="CP512" t="s">
        <v>214</v>
      </c>
      <c r="CS512" t="s">
        <v>216</v>
      </c>
      <c r="CV512" t="s">
        <v>214</v>
      </c>
      <c r="CW512" t="s">
        <v>214</v>
      </c>
      <c r="CX512" t="s">
        <v>217</v>
      </c>
      <c r="CY512" t="s">
        <v>214</v>
      </c>
      <c r="DA512" t="s">
        <v>218</v>
      </c>
    </row>
    <row r="513" spans="1:119" x14ac:dyDescent="0.3">
      <c r="A513">
        <v>21868271</v>
      </c>
      <c r="B513">
        <v>6237799</v>
      </c>
      <c r="C513" t="str">
        <f>"111125603663"</f>
        <v>111125603663</v>
      </c>
      <c r="D513" t="s">
        <v>1393</v>
      </c>
      <c r="E513" t="s">
        <v>1394</v>
      </c>
      <c r="F513" t="s">
        <v>1395</v>
      </c>
      <c r="G513" s="1">
        <v>40872</v>
      </c>
      <c r="I513" t="s">
        <v>222</v>
      </c>
      <c r="J513" t="s">
        <v>188</v>
      </c>
      <c r="K513" t="s">
        <v>1396</v>
      </c>
      <c r="Y513" t="str">
        <f>"2022-01-21T00:00:00"</f>
        <v>2022-01-21T00:00:00</v>
      </c>
      <c r="Z513" t="str">
        <f>"07"</f>
        <v>07</v>
      </c>
      <c r="AA513" t="s">
        <v>835</v>
      </c>
      <c r="AC513" t="s">
        <v>237</v>
      </c>
      <c r="AD513" t="s">
        <v>285</v>
      </c>
      <c r="AE513" t="s">
        <v>243</v>
      </c>
      <c r="AF513" t="s">
        <v>194</v>
      </c>
      <c r="AH513" t="s">
        <v>195</v>
      </c>
      <c r="AI513">
        <v>2</v>
      </c>
      <c r="AJ513" t="s">
        <v>196</v>
      </c>
      <c r="AK513" t="s">
        <v>194</v>
      </c>
      <c r="AL513" t="s">
        <v>197</v>
      </c>
      <c r="AM513" t="s">
        <v>198</v>
      </c>
      <c r="AR513" t="s">
        <v>194</v>
      </c>
      <c r="AS513" t="s">
        <v>199</v>
      </c>
      <c r="AU513" t="s">
        <v>197</v>
      </c>
      <c r="AZ513" t="s">
        <v>214</v>
      </c>
      <c r="BA513" t="s">
        <v>996</v>
      </c>
      <c r="BB513" t="s">
        <v>201</v>
      </c>
      <c r="BD513" t="s">
        <v>1172</v>
      </c>
      <c r="BE513" t="s">
        <v>229</v>
      </c>
      <c r="BF513" t="s">
        <v>197</v>
      </c>
      <c r="BG513" t="s">
        <v>230</v>
      </c>
      <c r="BH513" t="s">
        <v>231</v>
      </c>
      <c r="BJ513" t="s">
        <v>205</v>
      </c>
      <c r="BK513" t="s">
        <v>206</v>
      </c>
      <c r="BL513" t="s">
        <v>194</v>
      </c>
      <c r="BO513" t="s">
        <v>216</v>
      </c>
      <c r="BP513" t="s">
        <v>216</v>
      </c>
      <c r="BQ513" t="s">
        <v>1125</v>
      </c>
      <c r="BR513" t="s">
        <v>232</v>
      </c>
      <c r="BT513" t="s">
        <v>1209</v>
      </c>
      <c r="BU513" t="s">
        <v>1205</v>
      </c>
      <c r="BV513" t="s">
        <v>233</v>
      </c>
      <c r="CA513" t="s">
        <v>194</v>
      </c>
      <c r="CB513" t="s">
        <v>214</v>
      </c>
      <c r="CF513" t="s">
        <v>215</v>
      </c>
      <c r="CH513" t="s">
        <v>214</v>
      </c>
      <c r="CI513" t="s">
        <v>214</v>
      </c>
      <c r="CJ513" t="s">
        <v>214</v>
      </c>
      <c r="CP513" t="s">
        <v>214</v>
      </c>
      <c r="CS513" t="s">
        <v>216</v>
      </c>
      <c r="CV513" t="s">
        <v>214</v>
      </c>
      <c r="CW513" t="s">
        <v>214</v>
      </c>
      <c r="CX513" t="s">
        <v>217</v>
      </c>
      <c r="CY513" t="s">
        <v>214</v>
      </c>
      <c r="DA513" t="s">
        <v>218</v>
      </c>
    </row>
    <row r="514" spans="1:119" x14ac:dyDescent="0.3">
      <c r="A514">
        <v>21868272</v>
      </c>
      <c r="B514">
        <v>6304364</v>
      </c>
      <c r="C514" t="str">
        <f>"141010501432"</f>
        <v>141010501432</v>
      </c>
      <c r="D514" t="s">
        <v>1397</v>
      </c>
      <c r="E514" t="s">
        <v>1398</v>
      </c>
      <c r="F514" t="s">
        <v>1399</v>
      </c>
      <c r="G514" s="1">
        <v>41922</v>
      </c>
      <c r="I514" t="s">
        <v>187</v>
      </c>
      <c r="J514" t="s">
        <v>188</v>
      </c>
      <c r="K514" t="s">
        <v>1396</v>
      </c>
      <c r="Y514" t="str">
        <f>"2022-01-21T00:00:00"</f>
        <v>2022-01-21T00:00:00</v>
      </c>
      <c r="Z514" t="str">
        <f>"07"</f>
        <v>07</v>
      </c>
      <c r="AA514" t="s">
        <v>835</v>
      </c>
      <c r="AC514" t="s">
        <v>225</v>
      </c>
      <c r="AD514" t="s">
        <v>899</v>
      </c>
      <c r="AE514" t="s">
        <v>243</v>
      </c>
      <c r="AF514" t="s">
        <v>194</v>
      </c>
      <c r="AH514" t="s">
        <v>195</v>
      </c>
      <c r="AI514">
        <v>1</v>
      </c>
      <c r="AJ514" t="s">
        <v>196</v>
      </c>
      <c r="AK514" t="s">
        <v>194</v>
      </c>
      <c r="AL514" t="s">
        <v>197</v>
      </c>
      <c r="AM514" t="s">
        <v>198</v>
      </c>
      <c r="AR514" t="s">
        <v>194</v>
      </c>
      <c r="AS514" t="s">
        <v>199</v>
      </c>
      <c r="AU514" t="s">
        <v>197</v>
      </c>
      <c r="AZ514" t="s">
        <v>214</v>
      </c>
      <c r="BA514" t="s">
        <v>996</v>
      </c>
      <c r="BB514" t="s">
        <v>201</v>
      </c>
      <c r="BD514" t="s">
        <v>1172</v>
      </c>
      <c r="BE514" t="s">
        <v>900</v>
      </c>
      <c r="BF514" t="s">
        <v>197</v>
      </c>
      <c r="BJ514" t="s">
        <v>205</v>
      </c>
      <c r="BK514" t="s">
        <v>206</v>
      </c>
      <c r="BL514" t="s">
        <v>194</v>
      </c>
      <c r="BO514" t="s">
        <v>216</v>
      </c>
      <c r="BP514" t="s">
        <v>216</v>
      </c>
      <c r="BQ514" t="s">
        <v>280</v>
      </c>
      <c r="BR514" t="s">
        <v>232</v>
      </c>
      <c r="BT514" t="s">
        <v>197</v>
      </c>
      <c r="BV514" t="s">
        <v>233</v>
      </c>
      <c r="CA514" t="s">
        <v>194</v>
      </c>
      <c r="CB514" t="s">
        <v>214</v>
      </c>
      <c r="CF514" t="s">
        <v>215</v>
      </c>
      <c r="CH514" t="s">
        <v>214</v>
      </c>
      <c r="CI514" t="s">
        <v>214</v>
      </c>
      <c r="CJ514" t="s">
        <v>214</v>
      </c>
      <c r="CP514" t="s">
        <v>214</v>
      </c>
      <c r="CS514" t="s">
        <v>216</v>
      </c>
      <c r="CV514" t="s">
        <v>214</v>
      </c>
      <c r="CW514" t="s">
        <v>214</v>
      </c>
      <c r="CX514" t="s">
        <v>217</v>
      </c>
      <c r="CY514" t="s">
        <v>214</v>
      </c>
      <c r="DA514" t="s">
        <v>218</v>
      </c>
    </row>
    <row r="515" spans="1:119" x14ac:dyDescent="0.3">
      <c r="A515">
        <v>20318217</v>
      </c>
      <c r="B515">
        <v>931863</v>
      </c>
      <c r="C515" t="str">
        <f>"140317503316"</f>
        <v>140317503316</v>
      </c>
      <c r="D515" t="s">
        <v>1400</v>
      </c>
      <c r="E515" t="s">
        <v>1401</v>
      </c>
      <c r="G515" s="1">
        <v>41715</v>
      </c>
      <c r="I515" t="s">
        <v>187</v>
      </c>
      <c r="J515" t="s">
        <v>188</v>
      </c>
      <c r="K515" t="s">
        <v>189</v>
      </c>
      <c r="L515" t="s">
        <v>214</v>
      </c>
      <c r="Q515" t="s">
        <v>214</v>
      </c>
      <c r="Y515" t="str">
        <f t="shared" ref="Y515:Y521" si="18">"2021-08-24T00:00:00"</f>
        <v>2021-08-24T00:00:00</v>
      </c>
      <c r="Z515" t="str">
        <f t="shared" ref="Z515:Z521" si="19">"29"</f>
        <v>29</v>
      </c>
      <c r="AA515" t="s">
        <v>835</v>
      </c>
      <c r="AC515" t="s">
        <v>191</v>
      </c>
      <c r="AD515" t="s">
        <v>899</v>
      </c>
      <c r="AE515" t="s">
        <v>413</v>
      </c>
      <c r="AF515" t="s">
        <v>194</v>
      </c>
      <c r="AH515" t="s">
        <v>195</v>
      </c>
      <c r="AI515">
        <v>1</v>
      </c>
      <c r="AJ515" t="s">
        <v>196</v>
      </c>
      <c r="AK515" t="s">
        <v>194</v>
      </c>
      <c r="AL515" t="s">
        <v>197</v>
      </c>
      <c r="AM515" t="s">
        <v>198</v>
      </c>
      <c r="AR515" t="s">
        <v>194</v>
      </c>
      <c r="AS515" t="s">
        <v>199</v>
      </c>
      <c r="AU515" t="s">
        <v>197</v>
      </c>
      <c r="AZ515" t="s">
        <v>214</v>
      </c>
      <c r="BA515" t="s">
        <v>996</v>
      </c>
      <c r="BB515" t="s">
        <v>201</v>
      </c>
      <c r="BD515" t="s">
        <v>1172</v>
      </c>
      <c r="BE515" t="s">
        <v>900</v>
      </c>
      <c r="BF515" t="s">
        <v>197</v>
      </c>
      <c r="BJ515" t="s">
        <v>205</v>
      </c>
      <c r="BK515" t="s">
        <v>206</v>
      </c>
      <c r="BL515" t="s">
        <v>194</v>
      </c>
      <c r="BQ515" t="s">
        <v>280</v>
      </c>
      <c r="BR515" t="s">
        <v>232</v>
      </c>
      <c r="BT515" t="s">
        <v>197</v>
      </c>
      <c r="BV515" t="s">
        <v>233</v>
      </c>
      <c r="CA515" t="s">
        <v>194</v>
      </c>
      <c r="CB515" t="s">
        <v>214</v>
      </c>
      <c r="CF515" t="s">
        <v>215</v>
      </c>
      <c r="CH515" t="s">
        <v>214</v>
      </c>
      <c r="CI515" t="s">
        <v>214</v>
      </c>
      <c r="CJ515" t="s">
        <v>214</v>
      </c>
      <c r="CP515" t="s">
        <v>214</v>
      </c>
      <c r="CS515" t="s">
        <v>216</v>
      </c>
      <c r="CV515" t="s">
        <v>214</v>
      </c>
      <c r="CW515" t="s">
        <v>214</v>
      </c>
      <c r="CX515" t="s">
        <v>217</v>
      </c>
      <c r="CY515" t="s">
        <v>214</v>
      </c>
      <c r="DA515" t="s">
        <v>218</v>
      </c>
    </row>
    <row r="516" spans="1:119" x14ac:dyDescent="0.3">
      <c r="A516">
        <v>20318255</v>
      </c>
      <c r="B516">
        <v>6512184</v>
      </c>
      <c r="C516" t="str">
        <f>"140131503315"</f>
        <v>140131503315</v>
      </c>
      <c r="D516" t="s">
        <v>1402</v>
      </c>
      <c r="E516" t="s">
        <v>1403</v>
      </c>
      <c r="F516" t="s">
        <v>289</v>
      </c>
      <c r="G516" s="1">
        <v>41670</v>
      </c>
      <c r="I516" t="s">
        <v>187</v>
      </c>
      <c r="J516" t="s">
        <v>188</v>
      </c>
      <c r="K516" t="s">
        <v>223</v>
      </c>
      <c r="Y516" t="str">
        <f t="shared" si="18"/>
        <v>2021-08-24T00:00:00</v>
      </c>
      <c r="Z516" t="str">
        <f t="shared" si="19"/>
        <v>29</v>
      </c>
      <c r="AA516" t="s">
        <v>224</v>
      </c>
      <c r="AC516" t="s">
        <v>191</v>
      </c>
      <c r="AD516" t="s">
        <v>899</v>
      </c>
      <c r="AE516" t="s">
        <v>243</v>
      </c>
      <c r="AF516" t="s">
        <v>194</v>
      </c>
      <c r="AH516" t="s">
        <v>195</v>
      </c>
      <c r="AI516">
        <v>1</v>
      </c>
      <c r="AJ516" t="s">
        <v>196</v>
      </c>
      <c r="AK516" t="s">
        <v>194</v>
      </c>
      <c r="AL516" t="s">
        <v>197</v>
      </c>
      <c r="AM516" t="s">
        <v>198</v>
      </c>
      <c r="AR516" t="s">
        <v>194</v>
      </c>
      <c r="AS516" t="s">
        <v>199</v>
      </c>
      <c r="AU516" t="s">
        <v>197</v>
      </c>
      <c r="AZ516" t="s">
        <v>194</v>
      </c>
      <c r="BB516" t="s">
        <v>201</v>
      </c>
      <c r="BD516" t="s">
        <v>1172</v>
      </c>
      <c r="BE516" t="s">
        <v>900</v>
      </c>
      <c r="BF516" t="s">
        <v>197</v>
      </c>
      <c r="BJ516" t="s">
        <v>205</v>
      </c>
      <c r="BK516" t="s">
        <v>206</v>
      </c>
      <c r="BL516" t="s">
        <v>194</v>
      </c>
      <c r="BQ516" t="s">
        <v>280</v>
      </c>
      <c r="BR516" t="s">
        <v>232</v>
      </c>
      <c r="BT516" t="s">
        <v>197</v>
      </c>
      <c r="BV516" t="s">
        <v>233</v>
      </c>
      <c r="CA516" t="s">
        <v>194</v>
      </c>
      <c r="CB516" t="s">
        <v>214</v>
      </c>
      <c r="CF516" t="s">
        <v>215</v>
      </c>
      <c r="CH516" t="s">
        <v>214</v>
      </c>
      <c r="CI516" t="s">
        <v>214</v>
      </c>
      <c r="CJ516" t="s">
        <v>214</v>
      </c>
      <c r="CP516" t="s">
        <v>214</v>
      </c>
      <c r="CS516" t="s">
        <v>216</v>
      </c>
      <c r="CV516" t="s">
        <v>214</v>
      </c>
      <c r="CW516" t="s">
        <v>214</v>
      </c>
      <c r="CX516" t="s">
        <v>217</v>
      </c>
      <c r="CY516" t="s">
        <v>214</v>
      </c>
      <c r="DA516" t="s">
        <v>218</v>
      </c>
    </row>
    <row r="517" spans="1:119" x14ac:dyDescent="0.3">
      <c r="A517">
        <v>20318322</v>
      </c>
      <c r="B517">
        <v>624168</v>
      </c>
      <c r="C517" t="str">
        <f>"150707501689"</f>
        <v>150707501689</v>
      </c>
      <c r="D517" t="s">
        <v>1404</v>
      </c>
      <c r="E517" t="s">
        <v>1403</v>
      </c>
      <c r="F517" t="s">
        <v>748</v>
      </c>
      <c r="G517" s="1">
        <v>42192</v>
      </c>
      <c r="I517" t="s">
        <v>187</v>
      </c>
      <c r="J517" t="s">
        <v>188</v>
      </c>
      <c r="K517" t="s">
        <v>223</v>
      </c>
      <c r="Y517" t="str">
        <f t="shared" si="18"/>
        <v>2021-08-24T00:00:00</v>
      </c>
      <c r="Z517" t="str">
        <f t="shared" si="19"/>
        <v>29</v>
      </c>
      <c r="AA517" t="s">
        <v>835</v>
      </c>
      <c r="AC517" t="s">
        <v>225</v>
      </c>
      <c r="AD517" t="s">
        <v>899</v>
      </c>
      <c r="AE517" t="s">
        <v>243</v>
      </c>
      <c r="AF517" t="s">
        <v>194</v>
      </c>
      <c r="AH517" t="s">
        <v>195</v>
      </c>
      <c r="AI517">
        <v>1</v>
      </c>
      <c r="AJ517" t="s">
        <v>196</v>
      </c>
      <c r="AK517" t="s">
        <v>194</v>
      </c>
      <c r="AL517" t="s">
        <v>197</v>
      </c>
      <c r="AM517" t="s">
        <v>198</v>
      </c>
      <c r="AR517" t="s">
        <v>194</v>
      </c>
      <c r="AS517" t="s">
        <v>199</v>
      </c>
      <c r="AU517" t="s">
        <v>197</v>
      </c>
      <c r="AZ517" t="s">
        <v>214</v>
      </c>
      <c r="BA517" t="s">
        <v>996</v>
      </c>
      <c r="BB517" t="s">
        <v>201</v>
      </c>
      <c r="BD517" t="s">
        <v>1172</v>
      </c>
      <c r="BE517" t="s">
        <v>900</v>
      </c>
      <c r="BF517" t="s">
        <v>197</v>
      </c>
      <c r="BJ517" t="s">
        <v>205</v>
      </c>
      <c r="BK517" t="s">
        <v>206</v>
      </c>
      <c r="BL517" t="s">
        <v>194</v>
      </c>
      <c r="BQ517" t="s">
        <v>280</v>
      </c>
      <c r="BR517" t="s">
        <v>232</v>
      </c>
      <c r="BT517" t="s">
        <v>197</v>
      </c>
      <c r="BV517" t="s">
        <v>233</v>
      </c>
      <c r="CA517" t="s">
        <v>194</v>
      </c>
      <c r="CB517" t="s">
        <v>214</v>
      </c>
      <c r="CF517" t="s">
        <v>215</v>
      </c>
      <c r="CH517" t="s">
        <v>214</v>
      </c>
      <c r="CI517" t="s">
        <v>214</v>
      </c>
      <c r="CJ517" t="s">
        <v>214</v>
      </c>
      <c r="CP517" t="s">
        <v>214</v>
      </c>
      <c r="CS517" t="s">
        <v>216</v>
      </c>
      <c r="CV517" t="s">
        <v>214</v>
      </c>
      <c r="CW517" t="s">
        <v>214</v>
      </c>
      <c r="CX517" t="s">
        <v>217</v>
      </c>
      <c r="CY517" t="s">
        <v>214</v>
      </c>
      <c r="DA517" t="s">
        <v>218</v>
      </c>
    </row>
    <row r="518" spans="1:119" x14ac:dyDescent="0.3">
      <c r="A518">
        <v>20318351</v>
      </c>
      <c r="B518">
        <v>11729532</v>
      </c>
      <c r="C518" t="str">
        <f>"140524604168"</f>
        <v>140524604168</v>
      </c>
      <c r="D518" t="s">
        <v>1405</v>
      </c>
      <c r="E518" t="s">
        <v>1087</v>
      </c>
      <c r="F518" t="s">
        <v>1406</v>
      </c>
      <c r="G518" s="1">
        <v>41783</v>
      </c>
      <c r="I518" t="s">
        <v>222</v>
      </c>
      <c r="J518" t="s">
        <v>188</v>
      </c>
      <c r="K518" t="s">
        <v>189</v>
      </c>
      <c r="Y518" t="str">
        <f t="shared" si="18"/>
        <v>2021-08-24T00:00:00</v>
      </c>
      <c r="Z518" t="str">
        <f t="shared" si="19"/>
        <v>29</v>
      </c>
      <c r="AA518" t="s">
        <v>835</v>
      </c>
      <c r="AC518" t="s">
        <v>191</v>
      </c>
      <c r="AD518" t="s">
        <v>899</v>
      </c>
      <c r="AE518" t="s">
        <v>243</v>
      </c>
      <c r="AF518" t="s">
        <v>194</v>
      </c>
      <c r="AH518" t="s">
        <v>195</v>
      </c>
      <c r="AI518">
        <v>1</v>
      </c>
      <c r="AJ518" t="s">
        <v>196</v>
      </c>
      <c r="AK518" t="s">
        <v>194</v>
      </c>
      <c r="AL518" t="s">
        <v>197</v>
      </c>
      <c r="AM518" t="s">
        <v>198</v>
      </c>
      <c r="AR518" t="s">
        <v>194</v>
      </c>
      <c r="AS518" t="s">
        <v>199</v>
      </c>
      <c r="AU518" t="s">
        <v>197</v>
      </c>
      <c r="AZ518" t="s">
        <v>214</v>
      </c>
      <c r="BA518" t="s">
        <v>996</v>
      </c>
      <c r="BB518" t="s">
        <v>201</v>
      </c>
      <c r="BD518" t="s">
        <v>1172</v>
      </c>
      <c r="BE518" t="s">
        <v>900</v>
      </c>
      <c r="BF518" t="s">
        <v>197</v>
      </c>
      <c r="BJ518" t="s">
        <v>205</v>
      </c>
      <c r="BK518" t="s">
        <v>206</v>
      </c>
      <c r="BL518" t="s">
        <v>214</v>
      </c>
      <c r="BQ518" t="s">
        <v>280</v>
      </c>
      <c r="BR518" t="s">
        <v>232</v>
      </c>
      <c r="BT518" t="s">
        <v>197</v>
      </c>
      <c r="BV518" t="s">
        <v>233</v>
      </c>
      <c r="CA518" t="s">
        <v>194</v>
      </c>
      <c r="CB518" t="s">
        <v>214</v>
      </c>
      <c r="CF518" t="s">
        <v>1407</v>
      </c>
      <c r="CH518" t="s">
        <v>214</v>
      </c>
      <c r="CI518" t="s">
        <v>214</v>
      </c>
      <c r="CJ518" t="s">
        <v>214</v>
      </c>
      <c r="CP518" t="s">
        <v>214</v>
      </c>
      <c r="CS518" t="s">
        <v>216</v>
      </c>
      <c r="CV518" t="s">
        <v>214</v>
      </c>
      <c r="CW518" t="s">
        <v>214</v>
      </c>
      <c r="CX518" t="s">
        <v>217</v>
      </c>
      <c r="CY518" t="s">
        <v>214</v>
      </c>
      <c r="DA518" t="s">
        <v>218</v>
      </c>
    </row>
    <row r="519" spans="1:119" x14ac:dyDescent="0.3">
      <c r="A519">
        <v>20318422</v>
      </c>
      <c r="B519">
        <v>6191854</v>
      </c>
      <c r="C519" t="str">
        <f>"141030501411"</f>
        <v>141030501411</v>
      </c>
      <c r="D519" t="s">
        <v>1408</v>
      </c>
      <c r="E519" t="s">
        <v>434</v>
      </c>
      <c r="F519" t="s">
        <v>316</v>
      </c>
      <c r="G519" s="1">
        <v>41942</v>
      </c>
      <c r="I519" t="s">
        <v>187</v>
      </c>
      <c r="J519" t="s">
        <v>188</v>
      </c>
      <c r="K519" t="s">
        <v>223</v>
      </c>
      <c r="L519" t="s">
        <v>214</v>
      </c>
      <c r="Q519" t="s">
        <v>214</v>
      </c>
      <c r="Y519" t="str">
        <f t="shared" si="18"/>
        <v>2021-08-24T00:00:00</v>
      </c>
      <c r="Z519" t="str">
        <f t="shared" si="19"/>
        <v>29</v>
      </c>
      <c r="AA519" t="s">
        <v>224</v>
      </c>
      <c r="AC519" t="s">
        <v>191</v>
      </c>
      <c r="AD519" t="s">
        <v>899</v>
      </c>
      <c r="AE519" t="s">
        <v>243</v>
      </c>
      <c r="AF519" t="s">
        <v>194</v>
      </c>
      <c r="AH519" t="s">
        <v>195</v>
      </c>
      <c r="AI519">
        <v>1</v>
      </c>
      <c r="AJ519" t="s">
        <v>196</v>
      </c>
      <c r="AK519" t="s">
        <v>194</v>
      </c>
      <c r="AL519" t="s">
        <v>197</v>
      </c>
      <c r="AM519" t="s">
        <v>198</v>
      </c>
      <c r="AR519" t="s">
        <v>194</v>
      </c>
      <c r="AS519" t="s">
        <v>199</v>
      </c>
      <c r="AU519" t="s">
        <v>197</v>
      </c>
      <c r="AZ519" t="s">
        <v>214</v>
      </c>
      <c r="BA519" t="s">
        <v>996</v>
      </c>
      <c r="BB519" t="s">
        <v>201</v>
      </c>
      <c r="BD519" t="s">
        <v>1172</v>
      </c>
      <c r="BE519" t="s">
        <v>900</v>
      </c>
      <c r="BF519" t="s">
        <v>197</v>
      </c>
      <c r="BJ519" t="s">
        <v>205</v>
      </c>
      <c r="BK519" t="s">
        <v>206</v>
      </c>
      <c r="BL519" t="s">
        <v>214</v>
      </c>
      <c r="BQ519" t="s">
        <v>280</v>
      </c>
      <c r="BR519" t="s">
        <v>232</v>
      </c>
      <c r="BT519" t="s">
        <v>197</v>
      </c>
      <c r="BV519" t="s">
        <v>233</v>
      </c>
      <c r="CA519" t="s">
        <v>194</v>
      </c>
      <c r="CB519" t="s">
        <v>214</v>
      </c>
      <c r="CF519" t="s">
        <v>215</v>
      </c>
      <c r="CH519" t="s">
        <v>214</v>
      </c>
      <c r="CI519" t="s">
        <v>214</v>
      </c>
      <c r="CJ519" t="s">
        <v>214</v>
      </c>
      <c r="CP519" t="s">
        <v>214</v>
      </c>
      <c r="CS519" t="s">
        <v>216</v>
      </c>
      <c r="CV519" t="s">
        <v>214</v>
      </c>
      <c r="CW519" t="s">
        <v>214</v>
      </c>
      <c r="CX519" t="s">
        <v>217</v>
      </c>
      <c r="CY519" t="s">
        <v>214</v>
      </c>
      <c r="DA519" t="s">
        <v>218</v>
      </c>
    </row>
    <row r="520" spans="1:119" x14ac:dyDescent="0.3">
      <c r="A520">
        <v>20318491</v>
      </c>
      <c r="B520">
        <v>11729553</v>
      </c>
      <c r="C520" t="str">
        <f>"141216602368"</f>
        <v>141216602368</v>
      </c>
      <c r="D520" t="s">
        <v>1156</v>
      </c>
      <c r="E520" t="s">
        <v>620</v>
      </c>
      <c r="F520" t="s">
        <v>379</v>
      </c>
      <c r="G520" s="1">
        <v>41989</v>
      </c>
      <c r="I520" t="s">
        <v>222</v>
      </c>
      <c r="J520" t="s">
        <v>188</v>
      </c>
      <c r="K520" t="s">
        <v>223</v>
      </c>
      <c r="Y520" t="str">
        <f t="shared" si="18"/>
        <v>2021-08-24T00:00:00</v>
      </c>
      <c r="Z520" t="str">
        <f t="shared" si="19"/>
        <v>29</v>
      </c>
      <c r="AA520" t="s">
        <v>224</v>
      </c>
      <c r="AC520" t="s">
        <v>225</v>
      </c>
      <c r="AD520" t="s">
        <v>899</v>
      </c>
      <c r="AE520" t="s">
        <v>243</v>
      </c>
      <c r="AF520" t="s">
        <v>194</v>
      </c>
      <c r="AH520" t="s">
        <v>195</v>
      </c>
      <c r="AI520">
        <v>1</v>
      </c>
      <c r="AJ520" t="s">
        <v>196</v>
      </c>
      <c r="AK520" t="s">
        <v>194</v>
      </c>
      <c r="AL520" t="s">
        <v>197</v>
      </c>
      <c r="AM520" t="s">
        <v>198</v>
      </c>
      <c r="AR520" t="s">
        <v>194</v>
      </c>
      <c r="AS520" t="s">
        <v>199</v>
      </c>
      <c r="AU520" t="s">
        <v>197</v>
      </c>
      <c r="AZ520" t="s">
        <v>214</v>
      </c>
      <c r="BA520" t="s">
        <v>996</v>
      </c>
      <c r="BB520" t="s">
        <v>201</v>
      </c>
      <c r="BD520" t="s">
        <v>1172</v>
      </c>
      <c r="BE520" t="s">
        <v>900</v>
      </c>
      <c r="BF520" t="s">
        <v>197</v>
      </c>
      <c r="BJ520" t="s">
        <v>205</v>
      </c>
      <c r="BK520" t="s">
        <v>206</v>
      </c>
      <c r="BL520" t="s">
        <v>194</v>
      </c>
      <c r="BQ520" t="s">
        <v>280</v>
      </c>
      <c r="BR520" t="s">
        <v>232</v>
      </c>
      <c r="BT520" t="s">
        <v>197</v>
      </c>
      <c r="BV520" t="s">
        <v>233</v>
      </c>
      <c r="CA520" t="s">
        <v>194</v>
      </c>
      <c r="CB520" t="s">
        <v>214</v>
      </c>
      <c r="CF520" t="s">
        <v>215</v>
      </c>
      <c r="CH520" t="s">
        <v>214</v>
      </c>
      <c r="CI520" t="s">
        <v>214</v>
      </c>
      <c r="CJ520" t="s">
        <v>214</v>
      </c>
      <c r="CP520" t="s">
        <v>214</v>
      </c>
      <c r="CS520" t="s">
        <v>216</v>
      </c>
      <c r="CV520" t="s">
        <v>214</v>
      </c>
      <c r="CW520" t="s">
        <v>214</v>
      </c>
      <c r="CX520" t="s">
        <v>217</v>
      </c>
      <c r="CY520" t="s">
        <v>214</v>
      </c>
      <c r="DA520" t="s">
        <v>218</v>
      </c>
    </row>
    <row r="521" spans="1:119" x14ac:dyDescent="0.3">
      <c r="A521">
        <v>20318660</v>
      </c>
      <c r="B521">
        <v>11729577</v>
      </c>
      <c r="C521" t="str">
        <f>"140721501752"</f>
        <v>140721501752</v>
      </c>
      <c r="D521" t="s">
        <v>1409</v>
      </c>
      <c r="E521" t="s">
        <v>1410</v>
      </c>
      <c r="F521" t="s">
        <v>1411</v>
      </c>
      <c r="G521" s="1">
        <v>41841</v>
      </c>
      <c r="I521" t="s">
        <v>187</v>
      </c>
      <c r="J521" t="s">
        <v>188</v>
      </c>
      <c r="K521" t="s">
        <v>189</v>
      </c>
      <c r="Y521" t="str">
        <f t="shared" si="18"/>
        <v>2021-08-24T00:00:00</v>
      </c>
      <c r="Z521" t="str">
        <f t="shared" si="19"/>
        <v>29</v>
      </c>
      <c r="AA521" t="s">
        <v>224</v>
      </c>
      <c r="AC521" t="s">
        <v>191</v>
      </c>
      <c r="AD521" t="s">
        <v>899</v>
      </c>
      <c r="AE521" t="s">
        <v>243</v>
      </c>
      <c r="AF521" t="s">
        <v>194</v>
      </c>
      <c r="AH521" t="s">
        <v>195</v>
      </c>
      <c r="AI521">
        <v>1</v>
      </c>
      <c r="AJ521" t="s">
        <v>196</v>
      </c>
      <c r="AK521" t="s">
        <v>194</v>
      </c>
      <c r="AL521" t="s">
        <v>197</v>
      </c>
      <c r="AM521" t="s">
        <v>198</v>
      </c>
      <c r="AR521" t="s">
        <v>194</v>
      </c>
      <c r="AS521" t="s">
        <v>199</v>
      </c>
      <c r="AU521" t="s">
        <v>197</v>
      </c>
      <c r="AZ521" t="s">
        <v>214</v>
      </c>
      <c r="BA521" t="s">
        <v>996</v>
      </c>
      <c r="BB521" t="s">
        <v>201</v>
      </c>
      <c r="BD521" t="s">
        <v>1172</v>
      </c>
      <c r="BE521" t="s">
        <v>900</v>
      </c>
      <c r="BF521" t="s">
        <v>197</v>
      </c>
      <c r="BJ521" t="s">
        <v>205</v>
      </c>
      <c r="BK521" t="s">
        <v>206</v>
      </c>
      <c r="BL521" t="s">
        <v>194</v>
      </c>
      <c r="BQ521" t="s">
        <v>280</v>
      </c>
      <c r="BR521" t="s">
        <v>232</v>
      </c>
      <c r="BT521" t="s">
        <v>197</v>
      </c>
      <c r="BV521" t="s">
        <v>233</v>
      </c>
      <c r="CA521" t="s">
        <v>194</v>
      </c>
      <c r="CB521" t="s">
        <v>214</v>
      </c>
      <c r="CF521" t="s">
        <v>215</v>
      </c>
      <c r="CH521" t="s">
        <v>214</v>
      </c>
      <c r="CI521" t="s">
        <v>214</v>
      </c>
      <c r="CJ521" t="s">
        <v>214</v>
      </c>
      <c r="CP521" t="s">
        <v>214</v>
      </c>
      <c r="CS521" t="s">
        <v>216</v>
      </c>
      <c r="CV521" t="s">
        <v>214</v>
      </c>
      <c r="CW521" t="s">
        <v>214</v>
      </c>
      <c r="CX521" t="s">
        <v>217</v>
      </c>
      <c r="CY521" t="s">
        <v>214</v>
      </c>
      <c r="DA521" t="s">
        <v>218</v>
      </c>
    </row>
    <row r="522" spans="1:119" x14ac:dyDescent="0.3">
      <c r="A522">
        <v>1222995</v>
      </c>
      <c r="B522">
        <v>609700</v>
      </c>
      <c r="C522" t="str">
        <f>"100625555405"</f>
        <v>100625555405</v>
      </c>
      <c r="D522" t="s">
        <v>1412</v>
      </c>
      <c r="E522" t="s">
        <v>1413</v>
      </c>
      <c r="F522" t="s">
        <v>1414</v>
      </c>
      <c r="G522" s="1">
        <v>40354</v>
      </c>
      <c r="I522" t="s">
        <v>187</v>
      </c>
      <c r="J522" t="s">
        <v>188</v>
      </c>
      <c r="K522" t="s">
        <v>189</v>
      </c>
      <c r="Y522" t="str">
        <f>"2016-08-29T00:00:00"</f>
        <v>2016-08-29T00:00:00</v>
      </c>
      <c r="Z522" t="str">
        <f>"№39"</f>
        <v>№39</v>
      </c>
      <c r="AA522" t="s">
        <v>224</v>
      </c>
      <c r="AC522" t="s">
        <v>237</v>
      </c>
      <c r="AD522" t="s">
        <v>242</v>
      </c>
      <c r="AE522" t="s">
        <v>227</v>
      </c>
      <c r="AF522" t="s">
        <v>194</v>
      </c>
      <c r="AH522" t="s">
        <v>195</v>
      </c>
      <c r="AI522">
        <v>2</v>
      </c>
      <c r="AJ522" t="s">
        <v>196</v>
      </c>
      <c r="AK522" t="s">
        <v>194</v>
      </c>
      <c r="AL522" t="s">
        <v>197</v>
      </c>
      <c r="AM522" t="s">
        <v>198</v>
      </c>
      <c r="AQ522" t="str">
        <f>"2020-11-04T09:35:37"</f>
        <v>2020-11-04T09:35:37</v>
      </c>
      <c r="AR522" t="s">
        <v>194</v>
      </c>
      <c r="AS522" t="s">
        <v>199</v>
      </c>
      <c r="AU522" t="s">
        <v>197</v>
      </c>
      <c r="AZ522" t="s">
        <v>194</v>
      </c>
      <c r="BA522" t="s">
        <v>200</v>
      </c>
      <c r="BB522" t="s">
        <v>201</v>
      </c>
      <c r="BD522" t="s">
        <v>200</v>
      </c>
      <c r="BE522" t="s">
        <v>229</v>
      </c>
      <c r="BF522" t="s">
        <v>197</v>
      </c>
      <c r="BG522" t="s">
        <v>230</v>
      </c>
      <c r="BH522" t="s">
        <v>299</v>
      </c>
      <c r="BJ522" t="s">
        <v>205</v>
      </c>
      <c r="BK522" t="s">
        <v>206</v>
      </c>
      <c r="BL522" t="s">
        <v>194</v>
      </c>
      <c r="BO522" t="s">
        <v>200</v>
      </c>
      <c r="BP522" t="s">
        <v>200</v>
      </c>
      <c r="BR522" t="s">
        <v>232</v>
      </c>
      <c r="BT522" t="s">
        <v>197</v>
      </c>
      <c r="BV522" t="s">
        <v>247</v>
      </c>
      <c r="BW522" t="s">
        <v>248</v>
      </c>
      <c r="BX522" t="s">
        <v>1415</v>
      </c>
      <c r="BY522" t="s">
        <v>250</v>
      </c>
      <c r="BZ522" t="s">
        <v>1416</v>
      </c>
      <c r="CA522" t="s">
        <v>194</v>
      </c>
      <c r="CB522" t="s">
        <v>214</v>
      </c>
      <c r="CF522" t="s">
        <v>215</v>
      </c>
      <c r="CH522" t="s">
        <v>214</v>
      </c>
      <c r="CI522" t="s">
        <v>214</v>
      </c>
      <c r="CJ522" t="s">
        <v>214</v>
      </c>
      <c r="CP522" t="s">
        <v>214</v>
      </c>
      <c r="CS522" t="s">
        <v>216</v>
      </c>
      <c r="CV522" t="s">
        <v>214</v>
      </c>
      <c r="CW522" t="s">
        <v>214</v>
      </c>
      <c r="CX522" t="s">
        <v>217</v>
      </c>
      <c r="CY522" t="s">
        <v>214</v>
      </c>
      <c r="DA522" t="s">
        <v>218</v>
      </c>
      <c r="DM522" t="str">
        <f>"2021-05-31T00:00:00"</f>
        <v>2021-05-31T00:00:00</v>
      </c>
      <c r="DN522" t="str">
        <f>"31"</f>
        <v>31</v>
      </c>
      <c r="DO522" t="s">
        <v>1417</v>
      </c>
    </row>
    <row r="523" spans="1:119" x14ac:dyDescent="0.3">
      <c r="A523">
        <v>12821354</v>
      </c>
      <c r="B523">
        <v>5896174</v>
      </c>
      <c r="C523" t="str">
        <f>"080130551108"</f>
        <v>080130551108</v>
      </c>
      <c r="D523" t="s">
        <v>1418</v>
      </c>
      <c r="E523" t="s">
        <v>1419</v>
      </c>
      <c r="F523" t="s">
        <v>1420</v>
      </c>
      <c r="G523" s="1">
        <v>39477</v>
      </c>
      <c r="I523" t="s">
        <v>187</v>
      </c>
      <c r="J523" t="s">
        <v>188</v>
      </c>
      <c r="K523" t="s">
        <v>189</v>
      </c>
      <c r="Y523" t="str">
        <f>"2018-11-05T00:00:00"</f>
        <v>2018-11-05T00:00:00</v>
      </c>
      <c r="Z523" t="str">
        <f>"40"</f>
        <v>40</v>
      </c>
      <c r="AA523" t="s">
        <v>835</v>
      </c>
      <c r="AC523" t="s">
        <v>225</v>
      </c>
      <c r="AD523" t="s">
        <v>226</v>
      </c>
      <c r="AE523" t="s">
        <v>193</v>
      </c>
      <c r="AF523" t="s">
        <v>194</v>
      </c>
      <c r="AH523" t="s">
        <v>195</v>
      </c>
      <c r="AI523">
        <v>2</v>
      </c>
      <c r="AJ523" t="s">
        <v>196</v>
      </c>
      <c r="AK523" t="s">
        <v>194</v>
      </c>
      <c r="AL523" t="s">
        <v>197</v>
      </c>
      <c r="AM523" t="s">
        <v>228</v>
      </c>
      <c r="AR523" t="s">
        <v>194</v>
      </c>
      <c r="AS523" t="s">
        <v>199</v>
      </c>
      <c r="AU523" t="s">
        <v>197</v>
      </c>
      <c r="AZ523" t="s">
        <v>194</v>
      </c>
      <c r="BA523" t="s">
        <v>200</v>
      </c>
      <c r="BB523" t="s">
        <v>201</v>
      </c>
      <c r="BD523" t="s">
        <v>200</v>
      </c>
      <c r="BE523" t="s">
        <v>229</v>
      </c>
      <c r="BF523" t="s">
        <v>197</v>
      </c>
      <c r="BG523" t="s">
        <v>230</v>
      </c>
      <c r="BH523" t="s">
        <v>307</v>
      </c>
      <c r="BJ523" t="s">
        <v>205</v>
      </c>
      <c r="BK523" t="s">
        <v>206</v>
      </c>
      <c r="BL523" t="s">
        <v>194</v>
      </c>
      <c r="BO523" t="s">
        <v>200</v>
      </c>
      <c r="BP523" t="s">
        <v>200</v>
      </c>
      <c r="BR523" t="s">
        <v>232</v>
      </c>
      <c r="BT523" t="s">
        <v>197</v>
      </c>
      <c r="BV523" t="s">
        <v>247</v>
      </c>
      <c r="BW523" t="s">
        <v>248</v>
      </c>
      <c r="BX523" t="s">
        <v>1421</v>
      </c>
      <c r="BY523" t="s">
        <v>250</v>
      </c>
      <c r="BZ523" t="s">
        <v>1422</v>
      </c>
      <c r="CA523" t="s">
        <v>194</v>
      </c>
      <c r="CB523" t="s">
        <v>214</v>
      </c>
      <c r="CF523" t="s">
        <v>215</v>
      </c>
      <c r="CH523" t="s">
        <v>214</v>
      </c>
      <c r="CI523" t="s">
        <v>214</v>
      </c>
      <c r="CJ523" t="s">
        <v>214</v>
      </c>
      <c r="CP523" t="s">
        <v>214</v>
      </c>
      <c r="CS523" t="s">
        <v>216</v>
      </c>
      <c r="CV523" t="s">
        <v>214</v>
      </c>
      <c r="CW523" t="s">
        <v>214</v>
      </c>
      <c r="CX523" t="s">
        <v>217</v>
      </c>
      <c r="CY523" t="s">
        <v>214</v>
      </c>
      <c r="DA523" t="s">
        <v>218</v>
      </c>
      <c r="DM523" t="str">
        <f>"2022-06-07T00:00:00"</f>
        <v>2022-06-07T00:00:00</v>
      </c>
      <c r="DN523" t="str">
        <f>"33"</f>
        <v>33</v>
      </c>
      <c r="DO523" t="s">
        <v>835</v>
      </c>
    </row>
    <row r="524" spans="1:119" x14ac:dyDescent="0.3">
      <c r="A524">
        <v>12821467</v>
      </c>
      <c r="B524">
        <v>6047156</v>
      </c>
      <c r="C524" t="str">
        <f>"110309500421"</f>
        <v>110309500421</v>
      </c>
      <c r="D524" t="s">
        <v>1418</v>
      </c>
      <c r="E524" t="s">
        <v>685</v>
      </c>
      <c r="F524" t="s">
        <v>1420</v>
      </c>
      <c r="G524" s="1">
        <v>40611</v>
      </c>
      <c r="I524" t="s">
        <v>187</v>
      </c>
      <c r="J524" t="s">
        <v>188</v>
      </c>
      <c r="K524" t="s">
        <v>189</v>
      </c>
      <c r="Y524" t="str">
        <f>"2018-11-05T00:00:00"</f>
        <v>2018-11-05T00:00:00</v>
      </c>
      <c r="Z524" t="str">
        <f>"40"</f>
        <v>40</v>
      </c>
      <c r="AA524" t="s">
        <v>190</v>
      </c>
      <c r="AC524" t="s">
        <v>225</v>
      </c>
      <c r="AD524" t="s">
        <v>285</v>
      </c>
      <c r="AE524" t="s">
        <v>243</v>
      </c>
      <c r="AF524" t="s">
        <v>194</v>
      </c>
      <c r="AH524" t="s">
        <v>195</v>
      </c>
      <c r="AI524">
        <v>2</v>
      </c>
      <c r="AJ524" t="s">
        <v>196</v>
      </c>
      <c r="AK524" t="s">
        <v>194</v>
      </c>
      <c r="AL524" t="s">
        <v>197</v>
      </c>
      <c r="AM524" t="s">
        <v>228</v>
      </c>
      <c r="AR524" t="s">
        <v>194</v>
      </c>
      <c r="AS524" t="s">
        <v>199</v>
      </c>
      <c r="AU524" t="s">
        <v>197</v>
      </c>
      <c r="AZ524" t="s">
        <v>194</v>
      </c>
      <c r="BA524" t="s">
        <v>200</v>
      </c>
      <c r="BB524" t="s">
        <v>201</v>
      </c>
      <c r="BD524" t="s">
        <v>200</v>
      </c>
      <c r="BE524" t="s">
        <v>202</v>
      </c>
      <c r="BF524" t="s">
        <v>197</v>
      </c>
      <c r="BG524" t="s">
        <v>230</v>
      </c>
      <c r="BH524" t="s">
        <v>400</v>
      </c>
      <c r="BJ524" t="s">
        <v>205</v>
      </c>
      <c r="BK524" t="s">
        <v>206</v>
      </c>
      <c r="BL524" t="s">
        <v>194</v>
      </c>
      <c r="BO524" t="s">
        <v>200</v>
      </c>
      <c r="BP524" t="s">
        <v>200</v>
      </c>
      <c r="BQ524" t="s">
        <v>280</v>
      </c>
      <c r="BR524" t="s">
        <v>232</v>
      </c>
      <c r="BT524" t="s">
        <v>197</v>
      </c>
      <c r="BV524" t="s">
        <v>233</v>
      </c>
      <c r="CA524" t="s">
        <v>194</v>
      </c>
      <c r="CB524" t="s">
        <v>214</v>
      </c>
      <c r="CF524" t="s">
        <v>215</v>
      </c>
      <c r="CH524" t="s">
        <v>214</v>
      </c>
      <c r="CI524" t="s">
        <v>214</v>
      </c>
      <c r="CJ524" t="s">
        <v>214</v>
      </c>
      <c r="CP524" t="s">
        <v>214</v>
      </c>
      <c r="CS524" t="s">
        <v>216</v>
      </c>
      <c r="CV524" t="s">
        <v>214</v>
      </c>
      <c r="CW524" t="s">
        <v>214</v>
      </c>
      <c r="CX524" t="s">
        <v>217</v>
      </c>
      <c r="CY524" t="s">
        <v>214</v>
      </c>
      <c r="DA524" t="s">
        <v>218</v>
      </c>
      <c r="DM524" t="str">
        <f>"2022-06-07T00:00:00"</f>
        <v>2022-06-07T00:00:00</v>
      </c>
      <c r="DN524" t="str">
        <f>"33"</f>
        <v>33</v>
      </c>
      <c r="DO524" t="s">
        <v>835</v>
      </c>
    </row>
    <row r="525" spans="1:119" x14ac:dyDescent="0.3">
      <c r="A525">
        <v>20318681</v>
      </c>
      <c r="B525">
        <v>6481690</v>
      </c>
      <c r="C525" t="str">
        <f>"150303603308"</f>
        <v>150303603308</v>
      </c>
      <c r="D525" t="s">
        <v>1423</v>
      </c>
      <c r="E525" t="s">
        <v>875</v>
      </c>
      <c r="F525" t="s">
        <v>547</v>
      </c>
      <c r="G525" s="1">
        <v>42066</v>
      </c>
      <c r="I525" t="s">
        <v>222</v>
      </c>
      <c r="J525" t="s">
        <v>188</v>
      </c>
      <c r="K525" t="s">
        <v>189</v>
      </c>
      <c r="L525" t="s">
        <v>214</v>
      </c>
      <c r="Q525" t="s">
        <v>214</v>
      </c>
      <c r="Y525" t="str">
        <f t="shared" ref="Y525:Y533" si="20">"2021-08-24T00:00:00"</f>
        <v>2021-08-24T00:00:00</v>
      </c>
      <c r="Z525" t="str">
        <f t="shared" ref="Z525:Z534" si="21">"29"</f>
        <v>29</v>
      </c>
      <c r="AA525" t="s">
        <v>224</v>
      </c>
      <c r="AC525" t="s">
        <v>225</v>
      </c>
      <c r="AD525" t="s">
        <v>899</v>
      </c>
      <c r="AE525" t="s">
        <v>243</v>
      </c>
      <c r="AF525" t="s">
        <v>194</v>
      </c>
      <c r="AH525" t="s">
        <v>195</v>
      </c>
      <c r="AI525">
        <v>1</v>
      </c>
      <c r="AJ525" t="s">
        <v>196</v>
      </c>
      <c r="AK525" t="s">
        <v>194</v>
      </c>
      <c r="AL525" t="s">
        <v>197</v>
      </c>
      <c r="AM525" t="s">
        <v>198</v>
      </c>
      <c r="AR525" t="s">
        <v>194</v>
      </c>
      <c r="AS525" t="s">
        <v>199</v>
      </c>
      <c r="AU525" t="s">
        <v>197</v>
      </c>
      <c r="AZ525" t="s">
        <v>214</v>
      </c>
      <c r="BA525" t="s">
        <v>996</v>
      </c>
      <c r="BB525" t="s">
        <v>201</v>
      </c>
      <c r="BD525" t="s">
        <v>1172</v>
      </c>
      <c r="BE525" t="s">
        <v>900</v>
      </c>
      <c r="BF525" t="s">
        <v>197</v>
      </c>
      <c r="BJ525" t="s">
        <v>205</v>
      </c>
      <c r="BK525" t="s">
        <v>206</v>
      </c>
      <c r="BL525" t="s">
        <v>194</v>
      </c>
      <c r="BQ525" t="s">
        <v>280</v>
      </c>
      <c r="BR525" t="s">
        <v>232</v>
      </c>
      <c r="BT525" t="s">
        <v>197</v>
      </c>
      <c r="BV525" t="s">
        <v>233</v>
      </c>
      <c r="CA525" t="s">
        <v>194</v>
      </c>
      <c r="CB525" t="s">
        <v>214</v>
      </c>
      <c r="CF525" t="s">
        <v>215</v>
      </c>
      <c r="CH525" t="s">
        <v>214</v>
      </c>
      <c r="CI525" t="s">
        <v>214</v>
      </c>
      <c r="CJ525" t="s">
        <v>214</v>
      </c>
      <c r="CP525" t="s">
        <v>214</v>
      </c>
      <c r="CS525" t="s">
        <v>216</v>
      </c>
      <c r="CV525" t="s">
        <v>214</v>
      </c>
      <c r="CW525" t="s">
        <v>214</v>
      </c>
      <c r="CX525" t="s">
        <v>217</v>
      </c>
      <c r="CY525" t="s">
        <v>214</v>
      </c>
      <c r="DA525" t="s">
        <v>218</v>
      </c>
    </row>
    <row r="526" spans="1:119" x14ac:dyDescent="0.3">
      <c r="A526">
        <v>20318710</v>
      </c>
      <c r="B526">
        <v>5999455</v>
      </c>
      <c r="C526" t="str">
        <f>"141107502814"</f>
        <v>141107502814</v>
      </c>
      <c r="D526" t="s">
        <v>1424</v>
      </c>
      <c r="E526" t="s">
        <v>1340</v>
      </c>
      <c r="F526" t="s">
        <v>1425</v>
      </c>
      <c r="G526" s="1">
        <v>41950</v>
      </c>
      <c r="I526" t="s">
        <v>187</v>
      </c>
      <c r="J526" t="s">
        <v>188</v>
      </c>
      <c r="K526" t="s">
        <v>189</v>
      </c>
      <c r="Y526" t="str">
        <f t="shared" si="20"/>
        <v>2021-08-24T00:00:00</v>
      </c>
      <c r="Z526" t="str">
        <f t="shared" si="21"/>
        <v>29</v>
      </c>
      <c r="AA526" t="s">
        <v>835</v>
      </c>
      <c r="AC526" t="s">
        <v>191</v>
      </c>
      <c r="AD526" t="s">
        <v>899</v>
      </c>
      <c r="AE526" t="s">
        <v>243</v>
      </c>
      <c r="AF526" t="s">
        <v>194</v>
      </c>
      <c r="AH526" t="s">
        <v>195</v>
      </c>
      <c r="AI526">
        <v>1</v>
      </c>
      <c r="AJ526" t="s">
        <v>196</v>
      </c>
      <c r="AK526" t="s">
        <v>194</v>
      </c>
      <c r="AL526" t="s">
        <v>197</v>
      </c>
      <c r="AM526" t="s">
        <v>198</v>
      </c>
      <c r="AR526" t="s">
        <v>194</v>
      </c>
      <c r="AS526" t="s">
        <v>199</v>
      </c>
      <c r="AU526" t="s">
        <v>197</v>
      </c>
      <c r="AZ526" t="s">
        <v>214</v>
      </c>
      <c r="BA526" t="s">
        <v>996</v>
      </c>
      <c r="BB526" t="s">
        <v>201</v>
      </c>
      <c r="BD526" t="s">
        <v>1172</v>
      </c>
      <c r="BE526" t="s">
        <v>900</v>
      </c>
      <c r="BF526" t="s">
        <v>197</v>
      </c>
      <c r="BJ526" t="s">
        <v>205</v>
      </c>
      <c r="BK526" t="s">
        <v>206</v>
      </c>
      <c r="BL526" t="s">
        <v>194</v>
      </c>
      <c r="BQ526" t="s">
        <v>280</v>
      </c>
      <c r="BR526" t="s">
        <v>232</v>
      </c>
      <c r="BT526" t="s">
        <v>197</v>
      </c>
      <c r="BV526" t="s">
        <v>233</v>
      </c>
      <c r="CA526" t="s">
        <v>194</v>
      </c>
      <c r="CB526" t="s">
        <v>214</v>
      </c>
      <c r="CF526" t="s">
        <v>215</v>
      </c>
      <c r="CH526" t="s">
        <v>214</v>
      </c>
      <c r="CI526" t="s">
        <v>214</v>
      </c>
      <c r="CJ526" t="s">
        <v>214</v>
      </c>
      <c r="CP526" t="s">
        <v>214</v>
      </c>
      <c r="CS526" t="s">
        <v>216</v>
      </c>
      <c r="CV526" t="s">
        <v>214</v>
      </c>
      <c r="CW526" t="s">
        <v>214</v>
      </c>
      <c r="CX526" t="s">
        <v>217</v>
      </c>
      <c r="CY526" t="s">
        <v>214</v>
      </c>
      <c r="DA526" t="s">
        <v>218</v>
      </c>
    </row>
    <row r="527" spans="1:119" x14ac:dyDescent="0.3">
      <c r="A527">
        <v>20318928</v>
      </c>
      <c r="B527">
        <v>11729654</v>
      </c>
      <c r="C527" t="str">
        <f>"150713604978"</f>
        <v>150713604978</v>
      </c>
      <c r="D527" t="s">
        <v>912</v>
      </c>
      <c r="E527" t="s">
        <v>1384</v>
      </c>
      <c r="F527" t="s">
        <v>358</v>
      </c>
      <c r="G527" s="1">
        <v>42198</v>
      </c>
      <c r="I527" t="s">
        <v>222</v>
      </c>
      <c r="J527" t="s">
        <v>188</v>
      </c>
      <c r="K527" t="s">
        <v>345</v>
      </c>
      <c r="Y527" t="str">
        <f t="shared" si="20"/>
        <v>2021-08-24T00:00:00</v>
      </c>
      <c r="Z527" t="str">
        <f t="shared" si="21"/>
        <v>29</v>
      </c>
      <c r="AA527" t="s">
        <v>835</v>
      </c>
      <c r="AC527" t="s">
        <v>191</v>
      </c>
      <c r="AD527" t="s">
        <v>899</v>
      </c>
      <c r="AE527" t="s">
        <v>413</v>
      </c>
      <c r="AF527" t="s">
        <v>194</v>
      </c>
      <c r="AH527" t="s">
        <v>195</v>
      </c>
      <c r="AI527">
        <v>1</v>
      </c>
      <c r="AJ527" t="s">
        <v>196</v>
      </c>
      <c r="AK527" t="s">
        <v>194</v>
      </c>
      <c r="AL527" t="s">
        <v>197</v>
      </c>
      <c r="AM527" t="s">
        <v>198</v>
      </c>
      <c r="AR527" t="s">
        <v>194</v>
      </c>
      <c r="AS527" t="s">
        <v>199</v>
      </c>
      <c r="AU527" t="s">
        <v>197</v>
      </c>
      <c r="AZ527" t="s">
        <v>214</v>
      </c>
      <c r="BA527" t="s">
        <v>996</v>
      </c>
      <c r="BB527" t="s">
        <v>201</v>
      </c>
      <c r="BD527" t="s">
        <v>1172</v>
      </c>
      <c r="BE527" t="s">
        <v>900</v>
      </c>
      <c r="BF527" t="s">
        <v>197</v>
      </c>
      <c r="BJ527" t="s">
        <v>205</v>
      </c>
      <c r="BK527" t="s">
        <v>206</v>
      </c>
      <c r="BL527" t="s">
        <v>194</v>
      </c>
      <c r="BO527" t="s">
        <v>216</v>
      </c>
      <c r="BP527" t="s">
        <v>216</v>
      </c>
      <c r="BQ527" t="s">
        <v>280</v>
      </c>
      <c r="BR527" t="s">
        <v>232</v>
      </c>
      <c r="BT527" t="s">
        <v>197</v>
      </c>
      <c r="BV527" t="s">
        <v>233</v>
      </c>
      <c r="CA527" t="s">
        <v>194</v>
      </c>
      <c r="CB527" t="s">
        <v>214</v>
      </c>
      <c r="CF527" t="s">
        <v>215</v>
      </c>
      <c r="CH527" t="s">
        <v>214</v>
      </c>
      <c r="CI527" t="s">
        <v>214</v>
      </c>
      <c r="CJ527" t="s">
        <v>214</v>
      </c>
      <c r="CP527" t="s">
        <v>214</v>
      </c>
      <c r="CS527" t="s">
        <v>216</v>
      </c>
      <c r="CV527" t="s">
        <v>214</v>
      </c>
      <c r="CW527" t="s">
        <v>214</v>
      </c>
      <c r="CX527" t="s">
        <v>217</v>
      </c>
      <c r="CY527" t="s">
        <v>214</v>
      </c>
      <c r="DA527" t="s">
        <v>218</v>
      </c>
    </row>
    <row r="528" spans="1:119" x14ac:dyDescent="0.3">
      <c r="A528">
        <v>20318991</v>
      </c>
      <c r="B528">
        <v>11729664</v>
      </c>
      <c r="C528" t="str">
        <f>"150713604991"</f>
        <v>150713604991</v>
      </c>
      <c r="D528" t="s">
        <v>912</v>
      </c>
      <c r="E528" t="s">
        <v>1426</v>
      </c>
      <c r="F528" t="s">
        <v>358</v>
      </c>
      <c r="G528" s="1">
        <v>42198</v>
      </c>
      <c r="I528" t="s">
        <v>222</v>
      </c>
      <c r="J528" t="s">
        <v>188</v>
      </c>
      <c r="K528" t="s">
        <v>345</v>
      </c>
      <c r="Y528" t="str">
        <f t="shared" si="20"/>
        <v>2021-08-24T00:00:00</v>
      </c>
      <c r="Z528" t="str">
        <f t="shared" si="21"/>
        <v>29</v>
      </c>
      <c r="AA528" t="s">
        <v>224</v>
      </c>
      <c r="AC528" t="s">
        <v>191</v>
      </c>
      <c r="AD528" t="s">
        <v>899</v>
      </c>
      <c r="AE528" t="s">
        <v>413</v>
      </c>
      <c r="AF528" t="s">
        <v>194</v>
      </c>
      <c r="AH528" t="s">
        <v>195</v>
      </c>
      <c r="AI528">
        <v>1</v>
      </c>
      <c r="AJ528" t="s">
        <v>196</v>
      </c>
      <c r="AK528" t="s">
        <v>194</v>
      </c>
      <c r="AL528" t="s">
        <v>197</v>
      </c>
      <c r="AM528" t="s">
        <v>811</v>
      </c>
      <c r="AR528" t="s">
        <v>214</v>
      </c>
      <c r="AU528" t="s">
        <v>197</v>
      </c>
      <c r="AZ528" t="s">
        <v>214</v>
      </c>
      <c r="BA528" t="s">
        <v>996</v>
      </c>
      <c r="BB528" t="s">
        <v>201</v>
      </c>
      <c r="BD528" t="s">
        <v>1172</v>
      </c>
      <c r="BE528" t="s">
        <v>900</v>
      </c>
      <c r="BF528" t="s">
        <v>197</v>
      </c>
      <c r="BJ528" t="s">
        <v>205</v>
      </c>
      <c r="BK528" t="s">
        <v>206</v>
      </c>
      <c r="BL528" t="s">
        <v>194</v>
      </c>
      <c r="BO528" t="s">
        <v>216</v>
      </c>
      <c r="BP528" t="s">
        <v>216</v>
      </c>
      <c r="BQ528" t="s">
        <v>280</v>
      </c>
      <c r="BR528" t="s">
        <v>232</v>
      </c>
      <c r="BT528" t="s">
        <v>197</v>
      </c>
      <c r="BV528" t="s">
        <v>233</v>
      </c>
      <c r="CA528" t="s">
        <v>194</v>
      </c>
      <c r="CB528" t="s">
        <v>214</v>
      </c>
      <c r="CF528" t="s">
        <v>215</v>
      </c>
      <c r="CH528" t="s">
        <v>214</v>
      </c>
      <c r="CI528" t="s">
        <v>214</v>
      </c>
      <c r="CJ528" t="s">
        <v>214</v>
      </c>
      <c r="CP528" t="s">
        <v>214</v>
      </c>
      <c r="CS528" t="s">
        <v>216</v>
      </c>
      <c r="CV528" t="s">
        <v>214</v>
      </c>
      <c r="CW528" t="s">
        <v>214</v>
      </c>
      <c r="CX528" t="s">
        <v>217</v>
      </c>
      <c r="CY528" t="s">
        <v>214</v>
      </c>
      <c r="DA528" t="s">
        <v>218</v>
      </c>
    </row>
    <row r="529" spans="1:105" x14ac:dyDescent="0.3">
      <c r="A529">
        <v>20319063</v>
      </c>
      <c r="B529">
        <v>622535</v>
      </c>
      <c r="C529" t="str">
        <f>"150130505784"</f>
        <v>150130505784</v>
      </c>
      <c r="D529" t="s">
        <v>1427</v>
      </c>
      <c r="E529" t="s">
        <v>598</v>
      </c>
      <c r="F529" t="s">
        <v>1122</v>
      </c>
      <c r="G529" s="1">
        <v>42034</v>
      </c>
      <c r="I529" t="s">
        <v>187</v>
      </c>
      <c r="J529" t="s">
        <v>188</v>
      </c>
      <c r="K529" t="s">
        <v>223</v>
      </c>
      <c r="Y529" t="str">
        <f t="shared" si="20"/>
        <v>2021-08-24T00:00:00</v>
      </c>
      <c r="Z529" t="str">
        <f t="shared" si="21"/>
        <v>29</v>
      </c>
      <c r="AA529" t="s">
        <v>224</v>
      </c>
      <c r="AC529" t="s">
        <v>191</v>
      </c>
      <c r="AD529" t="s">
        <v>899</v>
      </c>
      <c r="AE529" t="s">
        <v>413</v>
      </c>
      <c r="AF529" t="s">
        <v>194</v>
      </c>
      <c r="AH529" t="s">
        <v>195</v>
      </c>
      <c r="AI529">
        <v>1</v>
      </c>
      <c r="AJ529" t="s">
        <v>196</v>
      </c>
      <c r="AK529" t="s">
        <v>194</v>
      </c>
      <c r="AL529" t="s">
        <v>197</v>
      </c>
      <c r="AM529" t="s">
        <v>198</v>
      </c>
      <c r="AR529" t="s">
        <v>194</v>
      </c>
      <c r="AS529" t="s">
        <v>199</v>
      </c>
      <c r="AU529" t="s">
        <v>197</v>
      </c>
      <c r="AZ529" t="s">
        <v>214</v>
      </c>
      <c r="BA529" t="s">
        <v>996</v>
      </c>
      <c r="BB529" t="s">
        <v>201</v>
      </c>
      <c r="BD529" t="s">
        <v>1172</v>
      </c>
      <c r="BE529" t="s">
        <v>900</v>
      </c>
      <c r="BF529" t="s">
        <v>197</v>
      </c>
      <c r="BJ529" t="s">
        <v>205</v>
      </c>
      <c r="BK529" t="s">
        <v>206</v>
      </c>
      <c r="BL529" t="s">
        <v>194</v>
      </c>
      <c r="BQ529" t="s">
        <v>280</v>
      </c>
      <c r="BR529" t="s">
        <v>232</v>
      </c>
      <c r="BT529" t="s">
        <v>197</v>
      </c>
      <c r="BV529" t="s">
        <v>233</v>
      </c>
      <c r="CA529" t="s">
        <v>194</v>
      </c>
      <c r="CB529" t="s">
        <v>214</v>
      </c>
      <c r="CF529" t="s">
        <v>215</v>
      </c>
      <c r="CH529" t="s">
        <v>214</v>
      </c>
      <c r="CI529" t="s">
        <v>214</v>
      </c>
      <c r="CJ529" t="s">
        <v>214</v>
      </c>
      <c r="CP529" t="s">
        <v>214</v>
      </c>
      <c r="CS529" t="s">
        <v>216</v>
      </c>
      <c r="CV529" t="s">
        <v>214</v>
      </c>
      <c r="CW529" t="s">
        <v>214</v>
      </c>
      <c r="CX529" t="s">
        <v>217</v>
      </c>
      <c r="CY529" t="s">
        <v>214</v>
      </c>
      <c r="DA529" t="s">
        <v>218</v>
      </c>
    </row>
    <row r="530" spans="1:105" x14ac:dyDescent="0.3">
      <c r="A530">
        <v>20319155</v>
      </c>
      <c r="B530">
        <v>11729712</v>
      </c>
      <c r="C530" t="str">
        <f>"140820000166"</f>
        <v>140820000166</v>
      </c>
      <c r="D530" t="s">
        <v>1428</v>
      </c>
      <c r="E530" t="s">
        <v>1429</v>
      </c>
      <c r="F530" t="s">
        <v>1430</v>
      </c>
      <c r="G530" s="1">
        <v>41871</v>
      </c>
      <c r="I530" t="s">
        <v>187</v>
      </c>
      <c r="J530" t="s">
        <v>337</v>
      </c>
      <c r="K530" t="s">
        <v>189</v>
      </c>
      <c r="L530" t="s">
        <v>214</v>
      </c>
      <c r="Q530" t="s">
        <v>214</v>
      </c>
      <c r="Y530" t="str">
        <f t="shared" si="20"/>
        <v>2021-08-24T00:00:00</v>
      </c>
      <c r="Z530" t="str">
        <f t="shared" si="21"/>
        <v>29</v>
      </c>
      <c r="AA530" t="s">
        <v>835</v>
      </c>
      <c r="AC530" t="s">
        <v>191</v>
      </c>
      <c r="AD530" t="s">
        <v>899</v>
      </c>
      <c r="AE530" t="s">
        <v>413</v>
      </c>
      <c r="AF530" t="s">
        <v>194</v>
      </c>
      <c r="AH530" t="s">
        <v>195</v>
      </c>
      <c r="AI530">
        <v>1</v>
      </c>
      <c r="AJ530" t="s">
        <v>196</v>
      </c>
      <c r="AK530" t="s">
        <v>194</v>
      </c>
      <c r="AL530" t="s">
        <v>197</v>
      </c>
      <c r="AM530" t="s">
        <v>198</v>
      </c>
      <c r="AR530" t="s">
        <v>194</v>
      </c>
      <c r="AS530" t="s">
        <v>199</v>
      </c>
      <c r="AU530" t="s">
        <v>197</v>
      </c>
      <c r="AZ530" t="s">
        <v>214</v>
      </c>
      <c r="BA530" t="s">
        <v>996</v>
      </c>
      <c r="BB530" t="s">
        <v>1431</v>
      </c>
      <c r="BD530" t="s">
        <v>1172</v>
      </c>
      <c r="BE530" t="s">
        <v>900</v>
      </c>
      <c r="BF530" t="s">
        <v>197</v>
      </c>
      <c r="BJ530" t="s">
        <v>205</v>
      </c>
      <c r="BK530" t="s">
        <v>206</v>
      </c>
      <c r="BL530" t="s">
        <v>194</v>
      </c>
      <c r="BQ530" t="s">
        <v>280</v>
      </c>
      <c r="BR530" t="s">
        <v>232</v>
      </c>
      <c r="BT530" t="s">
        <v>197</v>
      </c>
      <c r="BV530" t="s">
        <v>233</v>
      </c>
      <c r="CA530" t="s">
        <v>194</v>
      </c>
      <c r="CB530" t="s">
        <v>214</v>
      </c>
      <c r="CF530" t="s">
        <v>215</v>
      </c>
      <c r="CH530" t="s">
        <v>214</v>
      </c>
      <c r="CI530" t="s">
        <v>214</v>
      </c>
      <c r="CJ530" t="s">
        <v>214</v>
      </c>
      <c r="CP530" t="s">
        <v>214</v>
      </c>
      <c r="CS530" t="s">
        <v>216</v>
      </c>
      <c r="CV530" t="s">
        <v>214</v>
      </c>
      <c r="CW530" t="s">
        <v>214</v>
      </c>
      <c r="CX530" t="s">
        <v>217</v>
      </c>
      <c r="CY530" t="s">
        <v>214</v>
      </c>
      <c r="DA530" t="s">
        <v>218</v>
      </c>
    </row>
    <row r="531" spans="1:105" x14ac:dyDescent="0.3">
      <c r="A531">
        <v>20319175</v>
      </c>
      <c r="B531">
        <v>11729721</v>
      </c>
      <c r="C531" t="str">
        <f>"150923501297"</f>
        <v>150923501297</v>
      </c>
      <c r="D531" t="s">
        <v>1334</v>
      </c>
      <c r="E531" t="s">
        <v>1432</v>
      </c>
      <c r="F531" t="s">
        <v>1336</v>
      </c>
      <c r="G531" s="1">
        <v>42270</v>
      </c>
      <c r="I531" t="s">
        <v>187</v>
      </c>
      <c r="J531" t="s">
        <v>188</v>
      </c>
      <c r="K531" t="s">
        <v>189</v>
      </c>
      <c r="Y531" t="str">
        <f t="shared" si="20"/>
        <v>2021-08-24T00:00:00</v>
      </c>
      <c r="Z531" t="str">
        <f t="shared" si="21"/>
        <v>29</v>
      </c>
      <c r="AA531" t="s">
        <v>224</v>
      </c>
      <c r="AC531" t="s">
        <v>225</v>
      </c>
      <c r="AD531" t="s">
        <v>899</v>
      </c>
      <c r="AE531" t="s">
        <v>413</v>
      </c>
      <c r="AF531" t="s">
        <v>194</v>
      </c>
      <c r="AH531" t="s">
        <v>195</v>
      </c>
      <c r="AI531">
        <v>1</v>
      </c>
      <c r="AJ531" t="s">
        <v>196</v>
      </c>
      <c r="AK531" t="s">
        <v>194</v>
      </c>
      <c r="AL531" t="s">
        <v>197</v>
      </c>
      <c r="AM531" t="s">
        <v>198</v>
      </c>
      <c r="AR531" t="s">
        <v>194</v>
      </c>
      <c r="AS531" t="s">
        <v>199</v>
      </c>
      <c r="AU531" t="s">
        <v>197</v>
      </c>
      <c r="AZ531" t="s">
        <v>214</v>
      </c>
      <c r="BA531" t="s">
        <v>996</v>
      </c>
      <c r="BB531" t="s">
        <v>201</v>
      </c>
      <c r="BD531" t="s">
        <v>1172</v>
      </c>
      <c r="BE531" t="s">
        <v>900</v>
      </c>
      <c r="BF531" t="s">
        <v>197</v>
      </c>
      <c r="BJ531" t="s">
        <v>205</v>
      </c>
      <c r="BK531" t="s">
        <v>206</v>
      </c>
      <c r="BL531" t="s">
        <v>194</v>
      </c>
      <c r="BQ531" t="s">
        <v>280</v>
      </c>
      <c r="BR531" t="s">
        <v>232</v>
      </c>
      <c r="BT531" t="s">
        <v>197</v>
      </c>
      <c r="BV531" t="s">
        <v>233</v>
      </c>
      <c r="CA531" t="s">
        <v>194</v>
      </c>
      <c r="CB531" t="s">
        <v>214</v>
      </c>
      <c r="CF531" t="s">
        <v>215</v>
      </c>
      <c r="CH531" t="s">
        <v>214</v>
      </c>
      <c r="CI531" t="s">
        <v>214</v>
      </c>
      <c r="CJ531" t="s">
        <v>214</v>
      </c>
      <c r="CP531" t="s">
        <v>214</v>
      </c>
      <c r="CS531" t="s">
        <v>216</v>
      </c>
      <c r="CV531" t="s">
        <v>214</v>
      </c>
      <c r="CW531" t="s">
        <v>214</v>
      </c>
      <c r="CX531" t="s">
        <v>217</v>
      </c>
      <c r="CY531" t="s">
        <v>214</v>
      </c>
      <c r="DA531" t="s">
        <v>218</v>
      </c>
    </row>
    <row r="532" spans="1:105" x14ac:dyDescent="0.3">
      <c r="A532">
        <v>20319366</v>
      </c>
      <c r="B532">
        <v>11729759</v>
      </c>
      <c r="C532" t="str">
        <f>"131118604260"</f>
        <v>131118604260</v>
      </c>
      <c r="D532" t="s">
        <v>1433</v>
      </c>
      <c r="E532" t="s">
        <v>1434</v>
      </c>
      <c r="F532" t="s">
        <v>1435</v>
      </c>
      <c r="G532" s="1">
        <v>41596</v>
      </c>
      <c r="I532" t="s">
        <v>222</v>
      </c>
      <c r="J532" t="s">
        <v>188</v>
      </c>
      <c r="K532" t="s">
        <v>189</v>
      </c>
      <c r="Y532" t="str">
        <f t="shared" si="20"/>
        <v>2021-08-24T00:00:00</v>
      </c>
      <c r="Z532" t="str">
        <f t="shared" si="21"/>
        <v>29</v>
      </c>
      <c r="AA532" t="s">
        <v>224</v>
      </c>
      <c r="AC532" t="s">
        <v>191</v>
      </c>
      <c r="AD532" t="s">
        <v>899</v>
      </c>
      <c r="AE532" t="s">
        <v>413</v>
      </c>
      <c r="AF532" t="s">
        <v>194</v>
      </c>
      <c r="AH532" t="s">
        <v>195</v>
      </c>
      <c r="AI532">
        <v>1</v>
      </c>
      <c r="AJ532" t="s">
        <v>196</v>
      </c>
      <c r="AK532" t="s">
        <v>194</v>
      </c>
      <c r="AL532" t="s">
        <v>197</v>
      </c>
      <c r="AM532" t="s">
        <v>198</v>
      </c>
      <c r="AR532" t="s">
        <v>194</v>
      </c>
      <c r="AS532" t="s">
        <v>199</v>
      </c>
      <c r="AU532" t="s">
        <v>197</v>
      </c>
      <c r="AZ532" t="s">
        <v>214</v>
      </c>
      <c r="BA532" t="s">
        <v>996</v>
      </c>
      <c r="BB532" t="s">
        <v>201</v>
      </c>
      <c r="BD532" t="s">
        <v>1172</v>
      </c>
      <c r="BE532" t="s">
        <v>900</v>
      </c>
      <c r="BF532" t="s">
        <v>197</v>
      </c>
      <c r="BJ532" t="s">
        <v>205</v>
      </c>
      <c r="BK532" t="s">
        <v>206</v>
      </c>
      <c r="BL532" t="s">
        <v>194</v>
      </c>
      <c r="BQ532" t="s">
        <v>280</v>
      </c>
      <c r="BR532" t="s">
        <v>232</v>
      </c>
      <c r="BT532" t="s">
        <v>197</v>
      </c>
      <c r="BV532" t="s">
        <v>233</v>
      </c>
      <c r="CA532" t="s">
        <v>194</v>
      </c>
      <c r="CB532" t="s">
        <v>214</v>
      </c>
      <c r="CF532" t="s">
        <v>215</v>
      </c>
      <c r="CH532" t="s">
        <v>214</v>
      </c>
      <c r="CI532" t="s">
        <v>214</v>
      </c>
      <c r="CJ532" t="s">
        <v>214</v>
      </c>
      <c r="CP532" t="s">
        <v>214</v>
      </c>
      <c r="CS532" t="s">
        <v>216</v>
      </c>
      <c r="CV532" t="s">
        <v>214</v>
      </c>
      <c r="CW532" t="s">
        <v>214</v>
      </c>
      <c r="CX532" t="s">
        <v>217</v>
      </c>
      <c r="CY532" t="s">
        <v>214</v>
      </c>
      <c r="DA532" t="s">
        <v>218</v>
      </c>
    </row>
    <row r="533" spans="1:105" x14ac:dyDescent="0.3">
      <c r="A533">
        <v>20332635</v>
      </c>
      <c r="B533">
        <v>6590805</v>
      </c>
      <c r="C533" t="str">
        <f>"140927502394"</f>
        <v>140927502394</v>
      </c>
      <c r="D533" t="s">
        <v>910</v>
      </c>
      <c r="E533" t="s">
        <v>691</v>
      </c>
      <c r="F533" t="s">
        <v>289</v>
      </c>
      <c r="G533" s="1">
        <v>41909</v>
      </c>
      <c r="I533" t="s">
        <v>187</v>
      </c>
      <c r="J533" t="s">
        <v>188</v>
      </c>
      <c r="K533" t="s">
        <v>223</v>
      </c>
      <c r="L533" t="s">
        <v>214</v>
      </c>
      <c r="Q533" t="s">
        <v>214</v>
      </c>
      <c r="Y533" t="str">
        <f t="shared" si="20"/>
        <v>2021-08-24T00:00:00</v>
      </c>
      <c r="Z533" t="str">
        <f t="shared" si="21"/>
        <v>29</v>
      </c>
      <c r="AA533" t="s">
        <v>224</v>
      </c>
      <c r="AC533" t="s">
        <v>191</v>
      </c>
      <c r="AD533" t="s">
        <v>899</v>
      </c>
      <c r="AE533" t="s">
        <v>193</v>
      </c>
      <c r="AF533" t="s">
        <v>194</v>
      </c>
      <c r="AH533" t="s">
        <v>195</v>
      </c>
      <c r="AI533">
        <v>1</v>
      </c>
      <c r="AJ533" t="s">
        <v>196</v>
      </c>
      <c r="AK533" t="s">
        <v>194</v>
      </c>
      <c r="AL533" t="s">
        <v>197</v>
      </c>
      <c r="AM533" t="s">
        <v>811</v>
      </c>
      <c r="AR533" t="s">
        <v>214</v>
      </c>
      <c r="AU533" t="s">
        <v>197</v>
      </c>
      <c r="AZ533" t="s">
        <v>214</v>
      </c>
      <c r="BA533" t="s">
        <v>996</v>
      </c>
      <c r="BB533" t="s">
        <v>201</v>
      </c>
      <c r="BD533" t="s">
        <v>1172</v>
      </c>
      <c r="BE533" t="s">
        <v>900</v>
      </c>
      <c r="BF533" t="s">
        <v>197</v>
      </c>
      <c r="BJ533" t="s">
        <v>205</v>
      </c>
      <c r="BK533" t="s">
        <v>206</v>
      </c>
      <c r="BL533" t="s">
        <v>194</v>
      </c>
      <c r="BQ533" t="s">
        <v>280</v>
      </c>
      <c r="BR533" t="s">
        <v>232</v>
      </c>
      <c r="BT533" t="s">
        <v>197</v>
      </c>
      <c r="BV533" t="s">
        <v>233</v>
      </c>
      <c r="CA533" t="s">
        <v>194</v>
      </c>
      <c r="CB533" t="s">
        <v>214</v>
      </c>
      <c r="CF533" t="s">
        <v>215</v>
      </c>
      <c r="CH533" t="s">
        <v>214</v>
      </c>
      <c r="CI533" t="s">
        <v>214</v>
      </c>
      <c r="CJ533" t="s">
        <v>214</v>
      </c>
      <c r="CP533" t="s">
        <v>214</v>
      </c>
      <c r="CS533" t="s">
        <v>216</v>
      </c>
      <c r="CV533" t="s">
        <v>214</v>
      </c>
      <c r="CW533" t="s">
        <v>214</v>
      </c>
      <c r="CX533" t="s">
        <v>217</v>
      </c>
      <c r="CY533" t="s">
        <v>214</v>
      </c>
      <c r="DA533" t="s">
        <v>218</v>
      </c>
    </row>
    <row r="534" spans="1:105" x14ac:dyDescent="0.3">
      <c r="A534">
        <v>20604103</v>
      </c>
      <c r="B534">
        <v>612236</v>
      </c>
      <c r="C534" t="str">
        <f>"100125552046"</f>
        <v>100125552046</v>
      </c>
      <c r="D534" t="s">
        <v>1436</v>
      </c>
      <c r="E534" t="s">
        <v>791</v>
      </c>
      <c r="F534" t="s">
        <v>323</v>
      </c>
      <c r="G534" s="1">
        <v>40203</v>
      </c>
      <c r="I534" t="s">
        <v>187</v>
      </c>
      <c r="J534" t="s">
        <v>188</v>
      </c>
      <c r="K534" t="s">
        <v>223</v>
      </c>
      <c r="Y534" t="str">
        <f>"2021-08-28T00:00:00"</f>
        <v>2021-08-28T00:00:00</v>
      </c>
      <c r="Z534" t="str">
        <f t="shared" si="21"/>
        <v>29</v>
      </c>
      <c r="AA534" t="s">
        <v>835</v>
      </c>
      <c r="AC534" t="s">
        <v>255</v>
      </c>
      <c r="AD534" t="s">
        <v>242</v>
      </c>
      <c r="AE534" t="s">
        <v>243</v>
      </c>
      <c r="AF534" t="s">
        <v>194</v>
      </c>
      <c r="AH534" t="s">
        <v>195</v>
      </c>
      <c r="AI534">
        <v>2</v>
      </c>
      <c r="AJ534" t="s">
        <v>196</v>
      </c>
      <c r="AK534" t="s">
        <v>194</v>
      </c>
      <c r="AL534" t="s">
        <v>197</v>
      </c>
      <c r="AM534" t="s">
        <v>198</v>
      </c>
      <c r="AR534" t="s">
        <v>194</v>
      </c>
      <c r="AS534" t="s">
        <v>199</v>
      </c>
      <c r="AU534" t="s">
        <v>197</v>
      </c>
      <c r="AZ534" t="s">
        <v>214</v>
      </c>
      <c r="BA534" t="s">
        <v>996</v>
      </c>
      <c r="BB534" t="s">
        <v>201</v>
      </c>
      <c r="BD534" t="s">
        <v>1172</v>
      </c>
      <c r="BE534" t="s">
        <v>202</v>
      </c>
      <c r="BF534" t="s">
        <v>197</v>
      </c>
      <c r="BG534" t="s">
        <v>230</v>
      </c>
      <c r="BH534" t="s">
        <v>440</v>
      </c>
      <c r="BJ534" t="s">
        <v>205</v>
      </c>
      <c r="BK534" t="s">
        <v>206</v>
      </c>
      <c r="BL534" t="s">
        <v>194</v>
      </c>
      <c r="BR534" t="s">
        <v>232</v>
      </c>
      <c r="BT534" t="s">
        <v>1204</v>
      </c>
      <c r="BU534" t="s">
        <v>1205</v>
      </c>
      <c r="BV534" t="s">
        <v>233</v>
      </c>
      <c r="CA534" t="s">
        <v>194</v>
      </c>
      <c r="CB534" t="s">
        <v>214</v>
      </c>
      <c r="CF534" t="s">
        <v>215</v>
      </c>
      <c r="CH534" t="s">
        <v>214</v>
      </c>
      <c r="CI534" t="s">
        <v>214</v>
      </c>
      <c r="CJ534" t="s">
        <v>214</v>
      </c>
      <c r="CP534" t="s">
        <v>214</v>
      </c>
      <c r="CS534" t="s">
        <v>216</v>
      </c>
      <c r="CV534" t="s">
        <v>214</v>
      </c>
      <c r="CW534" t="s">
        <v>214</v>
      </c>
      <c r="CX534" t="s">
        <v>217</v>
      </c>
      <c r="CY534" t="s">
        <v>214</v>
      </c>
      <c r="DA534" t="s">
        <v>218</v>
      </c>
    </row>
    <row r="535" spans="1:105" x14ac:dyDescent="0.3">
      <c r="A535">
        <v>20650942</v>
      </c>
      <c r="B535">
        <v>8958142</v>
      </c>
      <c r="C535" t="str">
        <f>"121011505197"</f>
        <v>121011505197</v>
      </c>
      <c r="D535" t="s">
        <v>1074</v>
      </c>
      <c r="E535" t="s">
        <v>1437</v>
      </c>
      <c r="F535" t="s">
        <v>1322</v>
      </c>
      <c r="G535" s="1">
        <v>41193</v>
      </c>
      <c r="I535" t="s">
        <v>187</v>
      </c>
      <c r="J535" t="s">
        <v>188</v>
      </c>
      <c r="K535" t="s">
        <v>373</v>
      </c>
      <c r="Y535" t="str">
        <f>"2021-08-27T00:00:00"</f>
        <v>2021-08-27T00:00:00</v>
      </c>
      <c r="Z535" t="str">
        <f>"30"</f>
        <v>30</v>
      </c>
      <c r="AA535" t="s">
        <v>835</v>
      </c>
      <c r="AC535" t="s">
        <v>255</v>
      </c>
      <c r="AD535" t="s">
        <v>615</v>
      </c>
      <c r="AE535" t="s">
        <v>227</v>
      </c>
      <c r="AF535" t="s">
        <v>194</v>
      </c>
      <c r="AH535" t="s">
        <v>195</v>
      </c>
      <c r="AI535">
        <v>2</v>
      </c>
      <c r="AJ535" t="s">
        <v>196</v>
      </c>
      <c r="AK535" t="s">
        <v>194</v>
      </c>
      <c r="AL535" t="s">
        <v>197</v>
      </c>
      <c r="AM535" t="s">
        <v>198</v>
      </c>
      <c r="AR535" t="s">
        <v>194</v>
      </c>
      <c r="AS535" t="s">
        <v>199</v>
      </c>
      <c r="AU535" t="s">
        <v>197</v>
      </c>
      <c r="AZ535" t="s">
        <v>214</v>
      </c>
      <c r="BA535" t="s">
        <v>996</v>
      </c>
      <c r="BB535" t="s">
        <v>201</v>
      </c>
      <c r="BD535" t="s">
        <v>1172</v>
      </c>
      <c r="BE535" t="s">
        <v>229</v>
      </c>
      <c r="BF535" t="s">
        <v>197</v>
      </c>
      <c r="BG535" t="s">
        <v>230</v>
      </c>
      <c r="BH535" t="s">
        <v>307</v>
      </c>
      <c r="BJ535" t="s">
        <v>205</v>
      </c>
      <c r="BK535" t="s">
        <v>206</v>
      </c>
      <c r="BL535" t="s">
        <v>194</v>
      </c>
      <c r="BO535" t="s">
        <v>216</v>
      </c>
      <c r="BP535" t="s">
        <v>216</v>
      </c>
      <c r="BQ535" t="s">
        <v>286</v>
      </c>
      <c r="BR535" t="s">
        <v>232</v>
      </c>
      <c r="BT535" t="s">
        <v>197</v>
      </c>
      <c r="BV535" t="s">
        <v>471</v>
      </c>
      <c r="BW535" t="s">
        <v>416</v>
      </c>
      <c r="BX535" t="s">
        <v>539</v>
      </c>
      <c r="BY535" t="s">
        <v>534</v>
      </c>
      <c r="BZ535" t="s">
        <v>845</v>
      </c>
      <c r="CA535" t="s">
        <v>194</v>
      </c>
      <c r="CB535" t="s">
        <v>214</v>
      </c>
      <c r="CF535" t="s">
        <v>215</v>
      </c>
      <c r="CH535" t="s">
        <v>214</v>
      </c>
      <c r="CI535" t="s">
        <v>214</v>
      </c>
      <c r="CJ535" t="s">
        <v>214</v>
      </c>
      <c r="CP535" t="s">
        <v>214</v>
      </c>
      <c r="CS535" t="s">
        <v>216</v>
      </c>
      <c r="CV535" t="s">
        <v>214</v>
      </c>
      <c r="CW535" t="s">
        <v>214</v>
      </c>
      <c r="CX535" t="s">
        <v>217</v>
      </c>
      <c r="CY535" t="s">
        <v>214</v>
      </c>
      <c r="DA535" t="s">
        <v>218</v>
      </c>
    </row>
    <row r="536" spans="1:105" x14ac:dyDescent="0.3">
      <c r="A536">
        <v>20850790</v>
      </c>
      <c r="B536">
        <v>8999757</v>
      </c>
      <c r="C536" t="str">
        <f>"150729505843"</f>
        <v>150729505843</v>
      </c>
      <c r="D536" t="s">
        <v>1438</v>
      </c>
      <c r="E536" t="s">
        <v>737</v>
      </c>
      <c r="F536" t="s">
        <v>1439</v>
      </c>
      <c r="G536" s="1">
        <v>42214</v>
      </c>
      <c r="I536" t="s">
        <v>187</v>
      </c>
      <c r="J536" t="s">
        <v>188</v>
      </c>
      <c r="K536" t="s">
        <v>223</v>
      </c>
      <c r="Y536" t="str">
        <f>"2021-09-08T00:00:00"</f>
        <v>2021-09-08T00:00:00</v>
      </c>
      <c r="Z536" t="str">
        <f>"38"</f>
        <v>38</v>
      </c>
      <c r="AA536" t="s">
        <v>224</v>
      </c>
      <c r="AC536" t="s">
        <v>225</v>
      </c>
      <c r="AD536" t="s">
        <v>899</v>
      </c>
      <c r="AE536" t="s">
        <v>243</v>
      </c>
      <c r="AF536" t="s">
        <v>194</v>
      </c>
      <c r="AH536" t="s">
        <v>195</v>
      </c>
      <c r="AI536">
        <v>1</v>
      </c>
      <c r="AJ536" t="s">
        <v>196</v>
      </c>
      <c r="AK536" t="s">
        <v>194</v>
      </c>
      <c r="AL536" t="s">
        <v>197</v>
      </c>
      <c r="AM536" t="s">
        <v>198</v>
      </c>
      <c r="AR536" t="s">
        <v>194</v>
      </c>
      <c r="AS536" t="s">
        <v>199</v>
      </c>
      <c r="AU536" t="s">
        <v>197</v>
      </c>
      <c r="AZ536" t="s">
        <v>214</v>
      </c>
      <c r="BA536" t="s">
        <v>996</v>
      </c>
      <c r="BB536" t="s">
        <v>201</v>
      </c>
      <c r="BD536" t="s">
        <v>1172</v>
      </c>
      <c r="BE536" t="s">
        <v>900</v>
      </c>
      <c r="BF536" t="s">
        <v>197</v>
      </c>
      <c r="BJ536" t="s">
        <v>205</v>
      </c>
      <c r="BK536" t="s">
        <v>206</v>
      </c>
      <c r="BL536" t="s">
        <v>214</v>
      </c>
      <c r="BQ536" t="s">
        <v>280</v>
      </c>
      <c r="BR536" t="s">
        <v>232</v>
      </c>
      <c r="BT536" t="s">
        <v>197</v>
      </c>
      <c r="BV536" t="s">
        <v>233</v>
      </c>
      <c r="CA536" t="s">
        <v>194</v>
      </c>
      <c r="CB536" t="s">
        <v>214</v>
      </c>
      <c r="CF536" t="s">
        <v>215</v>
      </c>
      <c r="CH536" t="s">
        <v>214</v>
      </c>
      <c r="CI536" t="s">
        <v>214</v>
      </c>
      <c r="CJ536" t="s">
        <v>214</v>
      </c>
      <c r="CP536" t="s">
        <v>214</v>
      </c>
      <c r="CS536" t="s">
        <v>216</v>
      </c>
      <c r="CV536" t="s">
        <v>214</v>
      </c>
      <c r="CW536" t="s">
        <v>214</v>
      </c>
      <c r="CX536" t="s">
        <v>217</v>
      </c>
      <c r="CY536" t="s">
        <v>214</v>
      </c>
      <c r="DA536" t="s">
        <v>218</v>
      </c>
    </row>
    <row r="537" spans="1:105" x14ac:dyDescent="0.3">
      <c r="A537">
        <v>21179354</v>
      </c>
      <c r="B537">
        <v>6205795</v>
      </c>
      <c r="C537" t="str">
        <f>"130813506117"</f>
        <v>130813506117</v>
      </c>
      <c r="D537" t="s">
        <v>295</v>
      </c>
      <c r="E537" t="s">
        <v>719</v>
      </c>
      <c r="F537" t="s">
        <v>289</v>
      </c>
      <c r="G537" s="1">
        <v>41499</v>
      </c>
      <c r="I537" t="s">
        <v>187</v>
      </c>
      <c r="J537" t="s">
        <v>188</v>
      </c>
      <c r="K537" t="s">
        <v>260</v>
      </c>
      <c r="Y537" t="str">
        <f>"2021-09-14T00:00:00"</f>
        <v>2021-09-14T00:00:00</v>
      </c>
      <c r="Z537" t="str">
        <f>"39"</f>
        <v>39</v>
      </c>
      <c r="AA537" t="s">
        <v>835</v>
      </c>
      <c r="AC537" t="s">
        <v>255</v>
      </c>
      <c r="AD537" t="s">
        <v>815</v>
      </c>
      <c r="AE537" t="s">
        <v>193</v>
      </c>
      <c r="AF537" t="s">
        <v>194</v>
      </c>
      <c r="AH537" t="s">
        <v>195</v>
      </c>
      <c r="AI537">
        <v>1</v>
      </c>
      <c r="AJ537" t="s">
        <v>196</v>
      </c>
      <c r="AK537" t="s">
        <v>194</v>
      </c>
      <c r="AL537" t="s">
        <v>197</v>
      </c>
      <c r="AM537" t="s">
        <v>198</v>
      </c>
      <c r="AR537" t="s">
        <v>194</v>
      </c>
      <c r="AS537" t="s">
        <v>199</v>
      </c>
      <c r="AU537" t="s">
        <v>197</v>
      </c>
      <c r="AZ537" t="s">
        <v>214</v>
      </c>
      <c r="BA537" t="s">
        <v>996</v>
      </c>
      <c r="BB537" t="s">
        <v>201</v>
      </c>
      <c r="BD537" t="s">
        <v>1172</v>
      </c>
      <c r="BE537" t="s">
        <v>229</v>
      </c>
      <c r="BF537" t="s">
        <v>197</v>
      </c>
      <c r="BG537" t="s">
        <v>230</v>
      </c>
      <c r="BH537" t="s">
        <v>307</v>
      </c>
      <c r="BJ537" t="s">
        <v>205</v>
      </c>
      <c r="BK537" t="s">
        <v>206</v>
      </c>
      <c r="BL537" t="s">
        <v>194</v>
      </c>
      <c r="BO537" t="s">
        <v>216</v>
      </c>
      <c r="BP537" t="s">
        <v>216</v>
      </c>
      <c r="BQ537" t="s">
        <v>286</v>
      </c>
      <c r="BR537" t="s">
        <v>232</v>
      </c>
      <c r="BT537" t="s">
        <v>197</v>
      </c>
      <c r="BV537" t="s">
        <v>415</v>
      </c>
      <c r="BW537" t="s">
        <v>416</v>
      </c>
      <c r="BX537" t="s">
        <v>539</v>
      </c>
      <c r="BY537" t="s">
        <v>534</v>
      </c>
      <c r="BZ537" t="s">
        <v>616</v>
      </c>
      <c r="CA537" t="s">
        <v>194</v>
      </c>
      <c r="CB537" t="s">
        <v>214</v>
      </c>
      <c r="CF537" t="s">
        <v>215</v>
      </c>
      <c r="CH537" t="s">
        <v>214</v>
      </c>
      <c r="CI537" t="s">
        <v>214</v>
      </c>
      <c r="CJ537" t="s">
        <v>214</v>
      </c>
      <c r="CP537" t="s">
        <v>214</v>
      </c>
      <c r="CS537" t="s">
        <v>216</v>
      </c>
      <c r="CV537" t="s">
        <v>214</v>
      </c>
      <c r="CW537" t="s">
        <v>214</v>
      </c>
      <c r="CX537" t="s">
        <v>217</v>
      </c>
      <c r="CY537" t="s">
        <v>214</v>
      </c>
      <c r="DA537" t="s">
        <v>218</v>
      </c>
    </row>
    <row r="538" spans="1:105" x14ac:dyDescent="0.3">
      <c r="A538">
        <v>21213368</v>
      </c>
      <c r="B538">
        <v>898690</v>
      </c>
      <c r="C538" t="str">
        <f>"131211602253"</f>
        <v>131211602253</v>
      </c>
      <c r="D538" t="s">
        <v>1440</v>
      </c>
      <c r="E538" t="s">
        <v>1441</v>
      </c>
      <c r="F538" t="s">
        <v>1442</v>
      </c>
      <c r="G538" s="1">
        <v>41619</v>
      </c>
      <c r="I538" t="s">
        <v>222</v>
      </c>
      <c r="J538" t="s">
        <v>188</v>
      </c>
      <c r="K538" t="s">
        <v>189</v>
      </c>
      <c r="Y538" t="str">
        <f>"2021-10-04T00:00:00"</f>
        <v>2021-10-04T00:00:00</v>
      </c>
      <c r="Z538" t="str">
        <f>"43"</f>
        <v>43</v>
      </c>
      <c r="AA538" t="s">
        <v>835</v>
      </c>
      <c r="AC538" t="s">
        <v>255</v>
      </c>
      <c r="AD538" t="s">
        <v>815</v>
      </c>
      <c r="AE538" t="s">
        <v>193</v>
      </c>
      <c r="AF538" t="s">
        <v>194</v>
      </c>
      <c r="AH538" t="s">
        <v>195</v>
      </c>
      <c r="AI538">
        <v>1</v>
      </c>
      <c r="AJ538" t="s">
        <v>196</v>
      </c>
      <c r="AK538" t="s">
        <v>194</v>
      </c>
      <c r="AL538" t="s">
        <v>197</v>
      </c>
      <c r="AM538" t="s">
        <v>198</v>
      </c>
      <c r="AR538" t="s">
        <v>214</v>
      </c>
      <c r="AU538" t="s">
        <v>197</v>
      </c>
      <c r="AZ538" t="s">
        <v>194</v>
      </c>
      <c r="BB538" t="s">
        <v>201</v>
      </c>
      <c r="BD538" t="s">
        <v>1172</v>
      </c>
      <c r="BE538" t="s">
        <v>229</v>
      </c>
      <c r="BF538" t="s">
        <v>197</v>
      </c>
      <c r="BG538" t="s">
        <v>230</v>
      </c>
      <c r="BH538" t="s">
        <v>231</v>
      </c>
      <c r="BJ538" t="s">
        <v>205</v>
      </c>
      <c r="BK538" t="s">
        <v>206</v>
      </c>
      <c r="BL538" t="s">
        <v>194</v>
      </c>
      <c r="BQ538" t="s">
        <v>286</v>
      </c>
      <c r="BR538" t="s">
        <v>232</v>
      </c>
      <c r="BT538" t="s">
        <v>197</v>
      </c>
      <c r="BV538" t="s">
        <v>233</v>
      </c>
      <c r="CA538" t="s">
        <v>194</v>
      </c>
      <c r="CB538" t="s">
        <v>214</v>
      </c>
      <c r="CF538" t="s">
        <v>215</v>
      </c>
      <c r="CH538" t="s">
        <v>214</v>
      </c>
      <c r="CI538" t="s">
        <v>214</v>
      </c>
      <c r="CJ538" t="s">
        <v>214</v>
      </c>
      <c r="CP538" t="s">
        <v>214</v>
      </c>
      <c r="CS538" t="s">
        <v>216</v>
      </c>
      <c r="CV538" t="s">
        <v>214</v>
      </c>
      <c r="CW538" t="s">
        <v>214</v>
      </c>
      <c r="CX538" t="s">
        <v>217</v>
      </c>
      <c r="CY538" t="s">
        <v>214</v>
      </c>
      <c r="DA538" t="s">
        <v>218</v>
      </c>
    </row>
    <row r="539" spans="1:105" x14ac:dyDescent="0.3">
      <c r="A539">
        <v>21309121</v>
      </c>
      <c r="B539">
        <v>4972043</v>
      </c>
      <c r="C539" t="str">
        <f>"090707550821"</f>
        <v>090707550821</v>
      </c>
      <c r="D539" t="s">
        <v>1443</v>
      </c>
      <c r="E539" t="s">
        <v>1444</v>
      </c>
      <c r="F539" t="s">
        <v>1445</v>
      </c>
      <c r="G539" s="1">
        <v>40001</v>
      </c>
      <c r="I539" t="s">
        <v>187</v>
      </c>
      <c r="J539" t="s">
        <v>188</v>
      </c>
      <c r="K539" t="s">
        <v>1446</v>
      </c>
      <c r="Y539" t="str">
        <f>"2021-09-14T00:00:00"</f>
        <v>2021-09-14T00:00:00</v>
      </c>
      <c r="Z539" t="str">
        <f>"39"</f>
        <v>39</v>
      </c>
      <c r="AA539" t="s">
        <v>835</v>
      </c>
      <c r="AC539" t="s">
        <v>191</v>
      </c>
      <c r="AD539" t="s">
        <v>242</v>
      </c>
      <c r="AE539" t="s">
        <v>243</v>
      </c>
      <c r="AF539" t="s">
        <v>194</v>
      </c>
      <c r="AH539" t="s">
        <v>195</v>
      </c>
      <c r="AI539">
        <v>2</v>
      </c>
      <c r="AJ539" t="s">
        <v>196</v>
      </c>
      <c r="AK539" t="s">
        <v>194</v>
      </c>
      <c r="AL539" t="s">
        <v>197</v>
      </c>
      <c r="AM539" t="s">
        <v>198</v>
      </c>
      <c r="AR539" t="s">
        <v>194</v>
      </c>
      <c r="AS539" t="s">
        <v>199</v>
      </c>
      <c r="AU539" t="s">
        <v>197</v>
      </c>
      <c r="AZ539" t="s">
        <v>214</v>
      </c>
      <c r="BA539" t="s">
        <v>996</v>
      </c>
      <c r="BB539" t="s">
        <v>201</v>
      </c>
      <c r="BD539" t="s">
        <v>1172</v>
      </c>
      <c r="BE539" t="s">
        <v>202</v>
      </c>
      <c r="BF539" t="s">
        <v>197</v>
      </c>
      <c r="BG539" t="s">
        <v>230</v>
      </c>
      <c r="BH539" t="s">
        <v>420</v>
      </c>
      <c r="BJ539" t="s">
        <v>205</v>
      </c>
      <c r="BK539" t="s">
        <v>206</v>
      </c>
      <c r="BL539" t="s">
        <v>194</v>
      </c>
      <c r="BO539" t="s">
        <v>216</v>
      </c>
      <c r="BP539" t="s">
        <v>216</v>
      </c>
      <c r="BR539" t="s">
        <v>232</v>
      </c>
      <c r="BT539" t="s">
        <v>197</v>
      </c>
      <c r="BV539" t="s">
        <v>415</v>
      </c>
      <c r="BW539" t="s">
        <v>416</v>
      </c>
      <c r="BX539" t="s">
        <v>211</v>
      </c>
      <c r="BY539" t="s">
        <v>212</v>
      </c>
      <c r="BZ539" t="s">
        <v>482</v>
      </c>
      <c r="CA539" t="s">
        <v>194</v>
      </c>
      <c r="CB539" t="s">
        <v>214</v>
      </c>
      <c r="CF539" t="s">
        <v>215</v>
      </c>
      <c r="CH539" t="s">
        <v>214</v>
      </c>
      <c r="CI539" t="s">
        <v>214</v>
      </c>
      <c r="CJ539" t="s">
        <v>214</v>
      </c>
      <c r="CP539" t="s">
        <v>214</v>
      </c>
      <c r="CS539" t="s">
        <v>216</v>
      </c>
      <c r="CV539" t="s">
        <v>214</v>
      </c>
      <c r="CW539" t="s">
        <v>214</v>
      </c>
      <c r="CX539" t="s">
        <v>217</v>
      </c>
      <c r="CY539" t="s">
        <v>214</v>
      </c>
      <c r="DA539" t="s">
        <v>218</v>
      </c>
    </row>
    <row r="540" spans="1:105" x14ac:dyDescent="0.3">
      <c r="A540">
        <v>21534003</v>
      </c>
      <c r="B540">
        <v>6030558</v>
      </c>
      <c r="C540" t="str">
        <f>"090702552335"</f>
        <v>090702552335</v>
      </c>
      <c r="D540" t="s">
        <v>1447</v>
      </c>
      <c r="E540" t="s">
        <v>552</v>
      </c>
      <c r="F540" t="s">
        <v>814</v>
      </c>
      <c r="G540" s="1">
        <v>39996</v>
      </c>
      <c r="I540" t="s">
        <v>187</v>
      </c>
      <c r="J540" t="s">
        <v>188</v>
      </c>
      <c r="K540" t="s">
        <v>223</v>
      </c>
      <c r="Y540" t="str">
        <f>"2021-11-09T00:00:00"</f>
        <v>2021-11-09T00:00:00</v>
      </c>
      <c r="Z540" t="str">
        <f>"51"</f>
        <v>51</v>
      </c>
      <c r="AA540" t="s">
        <v>835</v>
      </c>
      <c r="AC540" t="s">
        <v>225</v>
      </c>
      <c r="AD540" t="s">
        <v>242</v>
      </c>
      <c r="AE540" t="s">
        <v>243</v>
      </c>
      <c r="AF540" t="s">
        <v>214</v>
      </c>
      <c r="AH540" t="s">
        <v>195</v>
      </c>
      <c r="AI540">
        <v>3</v>
      </c>
      <c r="AJ540" t="s">
        <v>196</v>
      </c>
      <c r="AK540" t="s">
        <v>194</v>
      </c>
      <c r="AL540" t="s">
        <v>197</v>
      </c>
      <c r="AM540" t="s">
        <v>198</v>
      </c>
      <c r="AR540" t="s">
        <v>194</v>
      </c>
      <c r="AS540" t="s">
        <v>199</v>
      </c>
      <c r="AU540" t="s">
        <v>197</v>
      </c>
      <c r="AZ540" t="s">
        <v>214</v>
      </c>
      <c r="BA540" t="s">
        <v>996</v>
      </c>
      <c r="BB540" t="s">
        <v>201</v>
      </c>
      <c r="BD540" t="s">
        <v>1172</v>
      </c>
      <c r="BE540" t="s">
        <v>202</v>
      </c>
      <c r="BF540" t="s">
        <v>197</v>
      </c>
      <c r="BG540" t="s">
        <v>230</v>
      </c>
      <c r="BH540" t="s">
        <v>420</v>
      </c>
      <c r="BJ540" t="s">
        <v>205</v>
      </c>
      <c r="BK540" t="s">
        <v>206</v>
      </c>
      <c r="BL540" t="s">
        <v>194</v>
      </c>
      <c r="BR540" t="s">
        <v>232</v>
      </c>
      <c r="BT540" t="s">
        <v>1209</v>
      </c>
      <c r="BU540" t="s">
        <v>1205</v>
      </c>
      <c r="BV540" t="s">
        <v>1198</v>
      </c>
      <c r="BW540" t="s">
        <v>210</v>
      </c>
      <c r="BX540" t="s">
        <v>1040</v>
      </c>
      <c r="BY540" t="s">
        <v>1199</v>
      </c>
      <c r="BZ540" t="s">
        <v>1448</v>
      </c>
      <c r="CA540" t="s">
        <v>194</v>
      </c>
      <c r="CB540" t="s">
        <v>214</v>
      </c>
      <c r="CF540" t="s">
        <v>215</v>
      </c>
      <c r="CH540" t="s">
        <v>214</v>
      </c>
      <c r="CI540" t="s">
        <v>214</v>
      </c>
      <c r="CJ540" t="s">
        <v>214</v>
      </c>
      <c r="CP540" t="s">
        <v>214</v>
      </c>
      <c r="CS540" t="s">
        <v>216</v>
      </c>
      <c r="CV540" t="s">
        <v>214</v>
      </c>
      <c r="CW540" t="s">
        <v>214</v>
      </c>
      <c r="CX540" t="s">
        <v>217</v>
      </c>
      <c r="CY540" t="s">
        <v>214</v>
      </c>
      <c r="DA540" t="s">
        <v>218</v>
      </c>
    </row>
    <row r="541" spans="1:105" x14ac:dyDescent="0.3">
      <c r="A541">
        <v>21550059</v>
      </c>
      <c r="B541">
        <v>5835085</v>
      </c>
      <c r="C541" t="str">
        <f>"111011605045"</f>
        <v>111011605045</v>
      </c>
      <c r="D541" t="s">
        <v>1449</v>
      </c>
      <c r="E541" t="s">
        <v>1450</v>
      </c>
      <c r="F541" t="s">
        <v>1451</v>
      </c>
      <c r="G541" s="1">
        <v>40827</v>
      </c>
      <c r="I541" t="s">
        <v>222</v>
      </c>
      <c r="J541" t="s">
        <v>188</v>
      </c>
      <c r="K541" t="s">
        <v>189</v>
      </c>
      <c r="Y541" t="str">
        <f>"2021-11-05T00:00:00"</f>
        <v>2021-11-05T00:00:00</v>
      </c>
      <c r="Z541" t="str">
        <f>"49"</f>
        <v>49</v>
      </c>
      <c r="AA541" t="s">
        <v>835</v>
      </c>
      <c r="AC541" t="s">
        <v>237</v>
      </c>
      <c r="AD541" t="s">
        <v>285</v>
      </c>
      <c r="AE541" t="s">
        <v>193</v>
      </c>
      <c r="AF541" t="s">
        <v>194</v>
      </c>
      <c r="AH541" t="s">
        <v>195</v>
      </c>
      <c r="AI541">
        <v>1</v>
      </c>
      <c r="AJ541" t="s">
        <v>196</v>
      </c>
      <c r="AK541" t="s">
        <v>194</v>
      </c>
      <c r="AL541" t="s">
        <v>197</v>
      </c>
      <c r="AM541" t="s">
        <v>198</v>
      </c>
      <c r="AR541" t="s">
        <v>194</v>
      </c>
      <c r="AS541" t="s">
        <v>199</v>
      </c>
      <c r="AU541" t="s">
        <v>197</v>
      </c>
      <c r="AZ541" t="s">
        <v>214</v>
      </c>
      <c r="BA541" t="s">
        <v>996</v>
      </c>
      <c r="BB541" t="s">
        <v>201</v>
      </c>
      <c r="BD541" t="s">
        <v>1172</v>
      </c>
      <c r="BE541" t="s">
        <v>229</v>
      </c>
      <c r="BF541" t="s">
        <v>197</v>
      </c>
      <c r="BG541" t="s">
        <v>230</v>
      </c>
      <c r="BH541" t="s">
        <v>231</v>
      </c>
      <c r="BJ541" t="s">
        <v>205</v>
      </c>
      <c r="BK541" t="s">
        <v>206</v>
      </c>
      <c r="BL541" t="s">
        <v>214</v>
      </c>
      <c r="BQ541" t="s">
        <v>1125</v>
      </c>
      <c r="BR541" t="s">
        <v>232</v>
      </c>
      <c r="BT541" t="s">
        <v>197</v>
      </c>
      <c r="BV541" t="s">
        <v>233</v>
      </c>
      <c r="CA541" t="s">
        <v>194</v>
      </c>
      <c r="CB541" t="s">
        <v>214</v>
      </c>
      <c r="CF541" t="s">
        <v>215</v>
      </c>
      <c r="CH541" t="s">
        <v>214</v>
      </c>
      <c r="CI541" t="s">
        <v>214</v>
      </c>
      <c r="CJ541" t="s">
        <v>214</v>
      </c>
      <c r="CP541" t="s">
        <v>214</v>
      </c>
      <c r="CS541" t="s">
        <v>216</v>
      </c>
      <c r="CV541" t="s">
        <v>214</v>
      </c>
      <c r="CW541" t="s">
        <v>214</v>
      </c>
      <c r="CX541" t="s">
        <v>217</v>
      </c>
      <c r="CY541" t="s">
        <v>214</v>
      </c>
      <c r="DA541" t="s">
        <v>218</v>
      </c>
    </row>
    <row r="542" spans="1:105" x14ac:dyDescent="0.3">
      <c r="A542">
        <v>21561835</v>
      </c>
      <c r="B542">
        <v>9110866</v>
      </c>
      <c r="C542" t="str">
        <f>"140114604674"</f>
        <v>140114604674</v>
      </c>
      <c r="D542" t="s">
        <v>1452</v>
      </c>
      <c r="E542" t="s">
        <v>639</v>
      </c>
      <c r="F542" t="s">
        <v>268</v>
      </c>
      <c r="G542" s="1">
        <v>41653</v>
      </c>
      <c r="I542" t="s">
        <v>222</v>
      </c>
      <c r="J542" t="s">
        <v>188</v>
      </c>
      <c r="K542" t="s">
        <v>260</v>
      </c>
      <c r="Y542" t="str">
        <f>"2021-11-12T00:00:00"</f>
        <v>2021-11-12T00:00:00</v>
      </c>
      <c r="Z542" t="str">
        <f>"53"</f>
        <v>53</v>
      </c>
      <c r="AA542" t="s">
        <v>835</v>
      </c>
      <c r="AC542" t="s">
        <v>225</v>
      </c>
      <c r="AD542" t="s">
        <v>815</v>
      </c>
      <c r="AE542" t="s">
        <v>243</v>
      </c>
      <c r="AF542" t="s">
        <v>194</v>
      </c>
      <c r="AH542" t="s">
        <v>195</v>
      </c>
      <c r="AI542">
        <v>2</v>
      </c>
      <c r="AJ542" t="s">
        <v>196</v>
      </c>
      <c r="AK542" t="s">
        <v>194</v>
      </c>
      <c r="AL542" t="s">
        <v>197</v>
      </c>
      <c r="AM542" t="s">
        <v>198</v>
      </c>
      <c r="AR542" t="s">
        <v>194</v>
      </c>
      <c r="AS542" t="s">
        <v>199</v>
      </c>
      <c r="AU542" t="s">
        <v>197</v>
      </c>
      <c r="AZ542" t="s">
        <v>214</v>
      </c>
      <c r="BA542" t="s">
        <v>996</v>
      </c>
      <c r="BB542" t="s">
        <v>201</v>
      </c>
      <c r="BD542" t="s">
        <v>1172</v>
      </c>
      <c r="BE542" t="s">
        <v>229</v>
      </c>
      <c r="BF542" t="s">
        <v>197</v>
      </c>
      <c r="BG542" t="s">
        <v>230</v>
      </c>
      <c r="BH542" t="s">
        <v>307</v>
      </c>
      <c r="BJ542" t="s">
        <v>205</v>
      </c>
      <c r="BK542" t="s">
        <v>206</v>
      </c>
      <c r="BL542" t="s">
        <v>214</v>
      </c>
      <c r="BO542" t="s">
        <v>216</v>
      </c>
      <c r="BP542" t="s">
        <v>216</v>
      </c>
      <c r="BQ542" t="s">
        <v>286</v>
      </c>
      <c r="BR542" t="s">
        <v>232</v>
      </c>
      <c r="BT542" t="s">
        <v>197</v>
      </c>
      <c r="BV542" t="s">
        <v>233</v>
      </c>
      <c r="CA542" t="s">
        <v>194</v>
      </c>
      <c r="CB542" t="s">
        <v>214</v>
      </c>
      <c r="CF542" t="s">
        <v>215</v>
      </c>
      <c r="CH542" t="s">
        <v>214</v>
      </c>
      <c r="CI542" t="s">
        <v>214</v>
      </c>
      <c r="CJ542" t="s">
        <v>214</v>
      </c>
      <c r="CP542" t="s">
        <v>214</v>
      </c>
      <c r="CS542" t="s">
        <v>216</v>
      </c>
      <c r="CV542" t="s">
        <v>214</v>
      </c>
      <c r="CW542" t="s">
        <v>214</v>
      </c>
      <c r="CX542" t="s">
        <v>217</v>
      </c>
      <c r="CY542" t="s">
        <v>214</v>
      </c>
      <c r="DA542" t="s">
        <v>218</v>
      </c>
    </row>
    <row r="543" spans="1:105" x14ac:dyDescent="0.3">
      <c r="A543">
        <v>21611274</v>
      </c>
      <c r="B543">
        <v>8931968</v>
      </c>
      <c r="C543" t="str">
        <f>"120915502925"</f>
        <v>120915502925</v>
      </c>
      <c r="D543" t="s">
        <v>1438</v>
      </c>
      <c r="E543" t="s">
        <v>434</v>
      </c>
      <c r="F543" t="s">
        <v>599</v>
      </c>
      <c r="G543" s="1">
        <v>41167</v>
      </c>
      <c r="I543" t="s">
        <v>187</v>
      </c>
      <c r="J543" t="s">
        <v>188</v>
      </c>
      <c r="K543" t="s">
        <v>260</v>
      </c>
      <c r="Y543" t="str">
        <f>"2021-11-24T00:00:00"</f>
        <v>2021-11-24T00:00:00</v>
      </c>
      <c r="Z543" t="str">
        <f>"57"</f>
        <v>57</v>
      </c>
      <c r="AA543" t="s">
        <v>835</v>
      </c>
      <c r="AC543" t="s">
        <v>237</v>
      </c>
      <c r="AD543" t="s">
        <v>615</v>
      </c>
      <c r="AE543" t="s">
        <v>193</v>
      </c>
      <c r="AF543" t="s">
        <v>194</v>
      </c>
      <c r="AH543" t="s">
        <v>195</v>
      </c>
      <c r="AI543">
        <v>3</v>
      </c>
      <c r="AJ543" t="s">
        <v>196</v>
      </c>
      <c r="AK543" t="s">
        <v>194</v>
      </c>
      <c r="AL543" t="s">
        <v>197</v>
      </c>
      <c r="AM543" t="s">
        <v>198</v>
      </c>
      <c r="AR543" t="s">
        <v>194</v>
      </c>
      <c r="AS543" t="s">
        <v>199</v>
      </c>
      <c r="AU543" t="s">
        <v>197</v>
      </c>
      <c r="AZ543" t="s">
        <v>214</v>
      </c>
      <c r="BA543" t="s">
        <v>996</v>
      </c>
      <c r="BB543" t="s">
        <v>201</v>
      </c>
      <c r="BD543" t="s">
        <v>1172</v>
      </c>
      <c r="BE543" t="s">
        <v>202</v>
      </c>
      <c r="BF543" t="s">
        <v>197</v>
      </c>
      <c r="BG543" t="s">
        <v>230</v>
      </c>
      <c r="BH543" t="s">
        <v>400</v>
      </c>
      <c r="BJ543" t="s">
        <v>205</v>
      </c>
      <c r="BK543" t="s">
        <v>206</v>
      </c>
      <c r="BL543" t="s">
        <v>194</v>
      </c>
      <c r="BO543" t="s">
        <v>216</v>
      </c>
      <c r="BP543" t="s">
        <v>216</v>
      </c>
      <c r="BQ543" t="s">
        <v>1125</v>
      </c>
      <c r="BR543" t="s">
        <v>232</v>
      </c>
      <c r="BT543" t="s">
        <v>197</v>
      </c>
      <c r="BV543" t="s">
        <v>233</v>
      </c>
      <c r="CA543" t="s">
        <v>194</v>
      </c>
      <c r="CB543" t="s">
        <v>214</v>
      </c>
      <c r="CF543" t="s">
        <v>215</v>
      </c>
      <c r="CH543" t="s">
        <v>214</v>
      </c>
      <c r="CI543" t="s">
        <v>214</v>
      </c>
      <c r="CJ543" t="s">
        <v>214</v>
      </c>
      <c r="CP543" t="s">
        <v>214</v>
      </c>
      <c r="CS543" t="s">
        <v>216</v>
      </c>
      <c r="CV543" t="s">
        <v>214</v>
      </c>
      <c r="CW543" t="s">
        <v>214</v>
      </c>
      <c r="CX543" t="s">
        <v>217</v>
      </c>
      <c r="CY543" t="s">
        <v>214</v>
      </c>
      <c r="DA543" t="s">
        <v>218</v>
      </c>
    </row>
    <row r="544" spans="1:105" x14ac:dyDescent="0.3">
      <c r="A544">
        <v>21802996</v>
      </c>
      <c r="B544">
        <v>6031563</v>
      </c>
      <c r="C544" t="str">
        <f>"120812604259"</f>
        <v>120812604259</v>
      </c>
      <c r="D544" t="s">
        <v>1453</v>
      </c>
      <c r="E544" t="s">
        <v>1454</v>
      </c>
      <c r="F544" t="s">
        <v>1344</v>
      </c>
      <c r="G544" s="1">
        <v>41133</v>
      </c>
      <c r="I544" t="s">
        <v>222</v>
      </c>
      <c r="J544" t="s">
        <v>188</v>
      </c>
      <c r="K544" t="s">
        <v>223</v>
      </c>
      <c r="Y544" t="str">
        <f>"2022-01-10T00:00:00"</f>
        <v>2022-01-10T00:00:00</v>
      </c>
      <c r="Z544" t="str">
        <f>"02"</f>
        <v>02</v>
      </c>
      <c r="AA544" t="s">
        <v>835</v>
      </c>
      <c r="AC544" t="s">
        <v>191</v>
      </c>
      <c r="AD544" t="s">
        <v>615</v>
      </c>
      <c r="AE544" t="s">
        <v>243</v>
      </c>
      <c r="AF544" t="s">
        <v>194</v>
      </c>
      <c r="AH544" t="s">
        <v>195</v>
      </c>
      <c r="AI544">
        <v>3</v>
      </c>
      <c r="AJ544" t="s">
        <v>196</v>
      </c>
      <c r="AK544" t="s">
        <v>194</v>
      </c>
      <c r="AL544" t="s">
        <v>197</v>
      </c>
      <c r="AM544" t="s">
        <v>198</v>
      </c>
      <c r="AR544" t="s">
        <v>194</v>
      </c>
      <c r="AS544" t="s">
        <v>199</v>
      </c>
      <c r="AU544" t="s">
        <v>197</v>
      </c>
      <c r="AZ544" t="s">
        <v>214</v>
      </c>
      <c r="BA544" t="s">
        <v>996</v>
      </c>
      <c r="BB544" t="s">
        <v>201</v>
      </c>
      <c r="BE544" t="s">
        <v>229</v>
      </c>
      <c r="BF544" t="s">
        <v>197</v>
      </c>
      <c r="BG544" t="s">
        <v>230</v>
      </c>
      <c r="BH544" t="s">
        <v>307</v>
      </c>
      <c r="BJ544" t="s">
        <v>205</v>
      </c>
      <c r="BK544" t="s">
        <v>206</v>
      </c>
      <c r="BL544" t="s">
        <v>214</v>
      </c>
      <c r="BQ544" t="s">
        <v>1125</v>
      </c>
      <c r="BR544" t="s">
        <v>232</v>
      </c>
      <c r="BT544" t="s">
        <v>1204</v>
      </c>
      <c r="BU544" t="s">
        <v>1205</v>
      </c>
      <c r="BV544" t="s">
        <v>233</v>
      </c>
      <c r="CA544" t="s">
        <v>194</v>
      </c>
      <c r="CB544" t="s">
        <v>214</v>
      </c>
      <c r="CF544" t="s">
        <v>215</v>
      </c>
      <c r="CH544" t="s">
        <v>214</v>
      </c>
      <c r="CI544" t="s">
        <v>214</v>
      </c>
      <c r="CJ544" t="s">
        <v>214</v>
      </c>
      <c r="CP544" t="s">
        <v>214</v>
      </c>
      <c r="CS544" t="s">
        <v>216</v>
      </c>
      <c r="CV544" t="s">
        <v>214</v>
      </c>
      <c r="CW544" t="s">
        <v>214</v>
      </c>
      <c r="CX544" t="s">
        <v>217</v>
      </c>
      <c r="CY544" t="s">
        <v>214</v>
      </c>
      <c r="DA544" t="s">
        <v>218</v>
      </c>
    </row>
    <row r="545" spans="1:119" x14ac:dyDescent="0.3">
      <c r="A545">
        <v>20316861</v>
      </c>
      <c r="B545">
        <v>620814</v>
      </c>
      <c r="C545" t="str">
        <f>"140608504950"</f>
        <v>140608504950</v>
      </c>
      <c r="D545" t="s">
        <v>1455</v>
      </c>
      <c r="E545" t="s">
        <v>1456</v>
      </c>
      <c r="F545" t="s">
        <v>1319</v>
      </c>
      <c r="G545" s="1">
        <v>41798</v>
      </c>
      <c r="I545" t="s">
        <v>187</v>
      </c>
      <c r="J545" t="s">
        <v>188</v>
      </c>
      <c r="K545" t="s">
        <v>189</v>
      </c>
      <c r="Y545" t="str">
        <f>"2021-08-24T00:00:00"</f>
        <v>2021-08-24T00:00:00</v>
      </c>
      <c r="Z545" t="str">
        <f>"29"</f>
        <v>29</v>
      </c>
      <c r="AA545" t="s">
        <v>224</v>
      </c>
      <c r="AC545" t="s">
        <v>191</v>
      </c>
      <c r="AD545" t="s">
        <v>899</v>
      </c>
      <c r="AE545" t="s">
        <v>193</v>
      </c>
      <c r="AF545" t="s">
        <v>194</v>
      </c>
      <c r="AH545" t="s">
        <v>195</v>
      </c>
      <c r="AI545">
        <v>1</v>
      </c>
      <c r="AJ545" t="s">
        <v>196</v>
      </c>
      <c r="AK545" t="s">
        <v>194</v>
      </c>
      <c r="AL545" t="s">
        <v>197</v>
      </c>
      <c r="AM545" t="s">
        <v>198</v>
      </c>
      <c r="AR545" t="s">
        <v>194</v>
      </c>
      <c r="AS545" t="s">
        <v>199</v>
      </c>
      <c r="AU545" t="s">
        <v>197</v>
      </c>
      <c r="AZ545" t="s">
        <v>214</v>
      </c>
      <c r="BA545" t="s">
        <v>996</v>
      </c>
      <c r="BB545" t="s">
        <v>201</v>
      </c>
      <c r="BD545" t="s">
        <v>1172</v>
      </c>
      <c r="BE545" t="s">
        <v>900</v>
      </c>
      <c r="BF545" t="s">
        <v>197</v>
      </c>
      <c r="BJ545" t="s">
        <v>205</v>
      </c>
      <c r="BK545" t="s">
        <v>206</v>
      </c>
      <c r="BL545" t="s">
        <v>194</v>
      </c>
      <c r="BQ545" t="s">
        <v>280</v>
      </c>
      <c r="BR545" t="s">
        <v>232</v>
      </c>
      <c r="BT545" t="s">
        <v>197</v>
      </c>
      <c r="BV545" t="s">
        <v>233</v>
      </c>
      <c r="CA545" t="s">
        <v>194</v>
      </c>
      <c r="CB545" t="s">
        <v>214</v>
      </c>
      <c r="CF545" t="s">
        <v>215</v>
      </c>
      <c r="CH545" t="s">
        <v>214</v>
      </c>
      <c r="CI545" t="s">
        <v>214</v>
      </c>
      <c r="CJ545" t="s">
        <v>214</v>
      </c>
      <c r="CP545" t="s">
        <v>214</v>
      </c>
      <c r="CS545" t="s">
        <v>216</v>
      </c>
      <c r="CV545" t="s">
        <v>214</v>
      </c>
      <c r="CW545" t="s">
        <v>214</v>
      </c>
      <c r="CX545" t="s">
        <v>217</v>
      </c>
      <c r="CY545" t="s">
        <v>214</v>
      </c>
      <c r="DA545" t="s">
        <v>218</v>
      </c>
    </row>
    <row r="546" spans="1:119" x14ac:dyDescent="0.3">
      <c r="A546">
        <v>21811470</v>
      </c>
      <c r="B546">
        <v>9167631</v>
      </c>
      <c r="C546" t="str">
        <f>"080812650669"</f>
        <v>080812650669</v>
      </c>
      <c r="D546" t="s">
        <v>1457</v>
      </c>
      <c r="E546" t="s">
        <v>398</v>
      </c>
      <c r="F546" t="s">
        <v>439</v>
      </c>
      <c r="G546" s="1">
        <v>39672</v>
      </c>
      <c r="I546" t="s">
        <v>222</v>
      </c>
      <c r="J546" t="s">
        <v>188</v>
      </c>
      <c r="K546" t="s">
        <v>260</v>
      </c>
      <c r="Y546" t="str">
        <f>"2022-01-10T00:00:00"</f>
        <v>2022-01-10T00:00:00</v>
      </c>
      <c r="Z546" t="str">
        <f>"02"</f>
        <v>02</v>
      </c>
      <c r="AA546" t="s">
        <v>835</v>
      </c>
      <c r="AC546" t="s">
        <v>191</v>
      </c>
      <c r="AD546" t="s">
        <v>226</v>
      </c>
      <c r="AE546" t="s">
        <v>193</v>
      </c>
      <c r="AF546" t="s">
        <v>194</v>
      </c>
      <c r="AH546" t="s">
        <v>195</v>
      </c>
      <c r="AI546">
        <v>3</v>
      </c>
      <c r="AJ546" t="s">
        <v>196</v>
      </c>
      <c r="AK546" t="s">
        <v>194</v>
      </c>
      <c r="AL546" t="s">
        <v>197</v>
      </c>
      <c r="AM546" t="s">
        <v>198</v>
      </c>
      <c r="AR546" t="s">
        <v>194</v>
      </c>
      <c r="AS546" t="s">
        <v>199</v>
      </c>
      <c r="AU546" t="s">
        <v>197</v>
      </c>
      <c r="AZ546" t="s">
        <v>214</v>
      </c>
      <c r="BA546" t="s">
        <v>996</v>
      </c>
      <c r="BB546" t="s">
        <v>201</v>
      </c>
      <c r="BD546" t="s">
        <v>1172</v>
      </c>
      <c r="BE546" t="s">
        <v>229</v>
      </c>
      <c r="BF546" t="s">
        <v>197</v>
      </c>
      <c r="BG546" t="s">
        <v>230</v>
      </c>
      <c r="BH546" t="s">
        <v>307</v>
      </c>
      <c r="BJ546" t="s">
        <v>205</v>
      </c>
      <c r="BK546" t="s">
        <v>206</v>
      </c>
      <c r="BL546" t="s">
        <v>194</v>
      </c>
      <c r="BO546" t="s">
        <v>216</v>
      </c>
      <c r="BP546" t="s">
        <v>216</v>
      </c>
      <c r="BR546" t="s">
        <v>232</v>
      </c>
      <c r="BT546" t="s">
        <v>1458</v>
      </c>
      <c r="BU546" t="s">
        <v>1205</v>
      </c>
      <c r="BV546" t="s">
        <v>233</v>
      </c>
      <c r="CA546" t="s">
        <v>214</v>
      </c>
      <c r="CB546" t="s">
        <v>214</v>
      </c>
      <c r="CF546" t="s">
        <v>215</v>
      </c>
      <c r="CH546" t="s">
        <v>214</v>
      </c>
      <c r="CI546" t="s">
        <v>214</v>
      </c>
      <c r="CJ546" t="s">
        <v>214</v>
      </c>
      <c r="CP546" t="s">
        <v>214</v>
      </c>
      <c r="CS546" t="s">
        <v>216</v>
      </c>
      <c r="CV546" t="s">
        <v>214</v>
      </c>
      <c r="CW546" t="s">
        <v>214</v>
      </c>
      <c r="CX546" t="s">
        <v>217</v>
      </c>
      <c r="CY546" t="s">
        <v>214</v>
      </c>
      <c r="DA546" t="s">
        <v>218</v>
      </c>
    </row>
    <row r="547" spans="1:119" x14ac:dyDescent="0.3">
      <c r="A547">
        <v>21832801</v>
      </c>
      <c r="B547">
        <v>69075</v>
      </c>
      <c r="C547" t="str">
        <f>"100730652636"</f>
        <v>100730652636</v>
      </c>
      <c r="D547" t="s">
        <v>1459</v>
      </c>
      <c r="E547" t="s">
        <v>1006</v>
      </c>
      <c r="F547" t="s">
        <v>665</v>
      </c>
      <c r="G547" s="1">
        <v>40389</v>
      </c>
      <c r="I547" t="s">
        <v>222</v>
      </c>
      <c r="J547" t="s">
        <v>188</v>
      </c>
      <c r="K547" t="s">
        <v>189</v>
      </c>
      <c r="Y547" t="str">
        <f>"2022-01-18T00:00:00"</f>
        <v>2022-01-18T00:00:00</v>
      </c>
      <c r="Z547" t="str">
        <f>"06"</f>
        <v>06</v>
      </c>
      <c r="AA547" t="s">
        <v>835</v>
      </c>
      <c r="AC547" t="s">
        <v>255</v>
      </c>
      <c r="AD547" t="s">
        <v>242</v>
      </c>
      <c r="AE547" t="s">
        <v>193</v>
      </c>
      <c r="AF547" t="s">
        <v>194</v>
      </c>
      <c r="AH547" t="s">
        <v>195</v>
      </c>
      <c r="AI547">
        <v>3</v>
      </c>
      <c r="AJ547" t="s">
        <v>196</v>
      </c>
      <c r="AK547" t="s">
        <v>194</v>
      </c>
      <c r="AL547" t="s">
        <v>197</v>
      </c>
      <c r="AM547" t="s">
        <v>198</v>
      </c>
      <c r="AR547" t="s">
        <v>194</v>
      </c>
      <c r="AS547" t="s">
        <v>199</v>
      </c>
      <c r="AU547" t="s">
        <v>197</v>
      </c>
      <c r="AZ547" t="s">
        <v>214</v>
      </c>
      <c r="BA547" t="s">
        <v>996</v>
      </c>
      <c r="BB547" t="s">
        <v>201</v>
      </c>
      <c r="BD547" t="s">
        <v>1172</v>
      </c>
      <c r="BE547" t="s">
        <v>202</v>
      </c>
      <c r="BF547" t="s">
        <v>197</v>
      </c>
      <c r="BG547" t="s">
        <v>230</v>
      </c>
      <c r="BH547" t="s">
        <v>400</v>
      </c>
      <c r="BJ547" t="s">
        <v>205</v>
      </c>
      <c r="BK547" t="s">
        <v>206</v>
      </c>
      <c r="BL547" t="s">
        <v>214</v>
      </c>
      <c r="BR547" t="s">
        <v>232</v>
      </c>
      <c r="BT547" t="s">
        <v>1460</v>
      </c>
      <c r="BU547" t="s">
        <v>208</v>
      </c>
      <c r="BV547" t="s">
        <v>471</v>
      </c>
      <c r="BW547" t="s">
        <v>416</v>
      </c>
      <c r="BX547" t="s">
        <v>574</v>
      </c>
      <c r="BY547" t="s">
        <v>212</v>
      </c>
      <c r="BZ547" t="s">
        <v>1461</v>
      </c>
      <c r="CA547" t="s">
        <v>194</v>
      </c>
      <c r="CB547" t="s">
        <v>214</v>
      </c>
      <c r="CF547" t="s">
        <v>215</v>
      </c>
      <c r="CH547" t="s">
        <v>214</v>
      </c>
      <c r="CI547" t="s">
        <v>214</v>
      </c>
      <c r="CJ547" t="s">
        <v>214</v>
      </c>
      <c r="CP547" t="s">
        <v>214</v>
      </c>
      <c r="CS547" t="s">
        <v>216</v>
      </c>
      <c r="CV547" t="s">
        <v>214</v>
      </c>
      <c r="CW547" t="s">
        <v>214</v>
      </c>
      <c r="CX547" t="s">
        <v>217</v>
      </c>
      <c r="CY547" t="s">
        <v>214</v>
      </c>
      <c r="DA547" t="s">
        <v>218</v>
      </c>
    </row>
    <row r="548" spans="1:119" x14ac:dyDescent="0.3">
      <c r="A548">
        <v>21834220</v>
      </c>
      <c r="B548">
        <v>6379306</v>
      </c>
      <c r="C548" t="str">
        <f>"131001505573"</f>
        <v>131001505573</v>
      </c>
      <c r="D548" t="s">
        <v>1462</v>
      </c>
      <c r="E548" t="s">
        <v>1463</v>
      </c>
      <c r="F548" t="s">
        <v>1425</v>
      </c>
      <c r="G548" s="1">
        <v>41548</v>
      </c>
      <c r="I548" t="s">
        <v>187</v>
      </c>
      <c r="J548" t="s">
        <v>188</v>
      </c>
      <c r="K548" t="s">
        <v>189</v>
      </c>
      <c r="Y548" t="str">
        <f>"2022-01-17T00:00:00"</f>
        <v>2022-01-17T00:00:00</v>
      </c>
      <c r="Z548" t="str">
        <f>"05"</f>
        <v>05</v>
      </c>
      <c r="AA548" t="s">
        <v>835</v>
      </c>
      <c r="AC548" t="s">
        <v>255</v>
      </c>
      <c r="AD548" t="s">
        <v>815</v>
      </c>
      <c r="AE548" t="s">
        <v>243</v>
      </c>
      <c r="AF548" t="s">
        <v>194</v>
      </c>
      <c r="AH548" t="s">
        <v>195</v>
      </c>
      <c r="AI548">
        <v>2</v>
      </c>
      <c r="AJ548" t="s">
        <v>196</v>
      </c>
      <c r="AK548" t="s">
        <v>194</v>
      </c>
      <c r="AL548" t="s">
        <v>197</v>
      </c>
      <c r="AM548" t="s">
        <v>198</v>
      </c>
      <c r="AR548" t="s">
        <v>194</v>
      </c>
      <c r="AS548" t="s">
        <v>199</v>
      </c>
      <c r="AU548" t="s">
        <v>197</v>
      </c>
      <c r="AZ548" t="s">
        <v>214</v>
      </c>
      <c r="BA548" t="s">
        <v>996</v>
      </c>
      <c r="BB548" t="s">
        <v>201</v>
      </c>
      <c r="BD548" t="s">
        <v>1172</v>
      </c>
      <c r="BE548" t="s">
        <v>229</v>
      </c>
      <c r="BF548" t="s">
        <v>197</v>
      </c>
      <c r="BG548" t="s">
        <v>230</v>
      </c>
      <c r="BH548" t="s">
        <v>231</v>
      </c>
      <c r="BJ548" t="s">
        <v>205</v>
      </c>
      <c r="BK548" t="s">
        <v>206</v>
      </c>
      <c r="BL548" t="s">
        <v>194</v>
      </c>
      <c r="BQ548" t="s">
        <v>271</v>
      </c>
      <c r="BR548" t="s">
        <v>232</v>
      </c>
      <c r="BT548" t="s">
        <v>1204</v>
      </c>
      <c r="BU548" t="s">
        <v>1205</v>
      </c>
      <c r="BV548" t="s">
        <v>233</v>
      </c>
      <c r="CA548" t="s">
        <v>194</v>
      </c>
      <c r="CB548" t="s">
        <v>214</v>
      </c>
      <c r="CF548" t="s">
        <v>215</v>
      </c>
      <c r="CH548" t="s">
        <v>214</v>
      </c>
      <c r="CI548" t="s">
        <v>214</v>
      </c>
      <c r="CJ548" t="s">
        <v>214</v>
      </c>
      <c r="CP548" t="s">
        <v>214</v>
      </c>
      <c r="CS548" t="s">
        <v>216</v>
      </c>
      <c r="CV548" t="s">
        <v>214</v>
      </c>
      <c r="CW548" t="s">
        <v>214</v>
      </c>
      <c r="CX548" t="s">
        <v>217</v>
      </c>
      <c r="CY548" t="s">
        <v>214</v>
      </c>
      <c r="DA548" t="s">
        <v>218</v>
      </c>
    </row>
    <row r="549" spans="1:119" x14ac:dyDescent="0.3">
      <c r="A549">
        <v>21837566</v>
      </c>
      <c r="B549">
        <v>5794305</v>
      </c>
      <c r="C549" t="str">
        <f>"110611603721"</f>
        <v>110611603721</v>
      </c>
      <c r="D549" t="s">
        <v>1464</v>
      </c>
      <c r="E549" t="s">
        <v>1215</v>
      </c>
      <c r="F549" t="s">
        <v>1465</v>
      </c>
      <c r="G549" s="1">
        <v>40705</v>
      </c>
      <c r="I549" t="s">
        <v>222</v>
      </c>
      <c r="J549" t="s">
        <v>188</v>
      </c>
      <c r="K549" t="s">
        <v>260</v>
      </c>
      <c r="Y549" t="str">
        <f>"2022-01-18T00:00:00"</f>
        <v>2022-01-18T00:00:00</v>
      </c>
      <c r="Z549" t="str">
        <f>"06"</f>
        <v>06</v>
      </c>
      <c r="AA549" t="s">
        <v>835</v>
      </c>
      <c r="AC549" t="s">
        <v>225</v>
      </c>
      <c r="AD549" t="s">
        <v>261</v>
      </c>
      <c r="AE549" t="s">
        <v>227</v>
      </c>
      <c r="AF549" t="s">
        <v>194</v>
      </c>
      <c r="AH549" t="s">
        <v>195</v>
      </c>
      <c r="AI549">
        <v>1</v>
      </c>
      <c r="AJ549" t="s">
        <v>196</v>
      </c>
      <c r="AK549" t="s">
        <v>194</v>
      </c>
      <c r="AL549" t="s">
        <v>197</v>
      </c>
      <c r="AM549" t="s">
        <v>198</v>
      </c>
      <c r="AR549" t="s">
        <v>194</v>
      </c>
      <c r="AS549" t="s">
        <v>199</v>
      </c>
      <c r="AU549" t="s">
        <v>197</v>
      </c>
      <c r="AZ549" t="s">
        <v>214</v>
      </c>
      <c r="BA549" t="s">
        <v>996</v>
      </c>
      <c r="BB549" t="s">
        <v>201</v>
      </c>
      <c r="BD549" t="s">
        <v>1172</v>
      </c>
      <c r="BE549" t="s">
        <v>229</v>
      </c>
      <c r="BF549" t="s">
        <v>197</v>
      </c>
      <c r="BG549" t="s">
        <v>230</v>
      </c>
      <c r="BH549" t="s">
        <v>307</v>
      </c>
      <c r="BJ549" t="s">
        <v>205</v>
      </c>
      <c r="BK549" t="s">
        <v>206</v>
      </c>
      <c r="BL549" t="s">
        <v>194</v>
      </c>
      <c r="BO549" t="s">
        <v>216</v>
      </c>
      <c r="BP549" t="s">
        <v>216</v>
      </c>
      <c r="BR549" t="s">
        <v>232</v>
      </c>
      <c r="BT549" t="s">
        <v>1209</v>
      </c>
      <c r="BU549" t="s">
        <v>208</v>
      </c>
      <c r="BV549" t="s">
        <v>233</v>
      </c>
      <c r="CA549" t="s">
        <v>194</v>
      </c>
      <c r="CB549" t="s">
        <v>214</v>
      </c>
      <c r="CF549" t="s">
        <v>215</v>
      </c>
      <c r="CH549" t="s">
        <v>214</v>
      </c>
      <c r="CI549" t="s">
        <v>214</v>
      </c>
      <c r="CJ549" t="s">
        <v>214</v>
      </c>
      <c r="CP549" t="s">
        <v>214</v>
      </c>
      <c r="CS549" t="s">
        <v>216</v>
      </c>
      <c r="CV549" t="s">
        <v>214</v>
      </c>
      <c r="CW549" t="s">
        <v>214</v>
      </c>
      <c r="CX549" t="s">
        <v>217</v>
      </c>
      <c r="CY549" t="s">
        <v>214</v>
      </c>
      <c r="DA549" t="s">
        <v>218</v>
      </c>
    </row>
    <row r="550" spans="1:119" x14ac:dyDescent="0.3">
      <c r="A550">
        <v>20317423</v>
      </c>
      <c r="B550">
        <v>899218</v>
      </c>
      <c r="C550" t="str">
        <f>"140320505913"</f>
        <v>140320505913</v>
      </c>
      <c r="D550" t="s">
        <v>688</v>
      </c>
      <c r="E550" t="s">
        <v>1014</v>
      </c>
      <c r="F550" t="s">
        <v>479</v>
      </c>
      <c r="G550" s="1">
        <v>41718</v>
      </c>
      <c r="I550" t="s">
        <v>187</v>
      </c>
      <c r="J550" t="s">
        <v>188</v>
      </c>
      <c r="K550" t="s">
        <v>189</v>
      </c>
      <c r="L550" t="s">
        <v>214</v>
      </c>
      <c r="Q550" t="s">
        <v>214</v>
      </c>
      <c r="Y550" t="str">
        <f>"2021-08-24T00:00:00"</f>
        <v>2021-08-24T00:00:00</v>
      </c>
      <c r="Z550" t="str">
        <f>"29"</f>
        <v>29</v>
      </c>
      <c r="AA550" t="s">
        <v>224</v>
      </c>
      <c r="AC550" t="s">
        <v>191</v>
      </c>
      <c r="AD550" t="s">
        <v>899</v>
      </c>
      <c r="AE550" t="s">
        <v>193</v>
      </c>
      <c r="AF550" t="s">
        <v>194</v>
      </c>
      <c r="AH550" t="s">
        <v>195</v>
      </c>
      <c r="AI550">
        <v>1</v>
      </c>
      <c r="AJ550" t="s">
        <v>196</v>
      </c>
      <c r="AK550" t="s">
        <v>194</v>
      </c>
      <c r="AL550" t="s">
        <v>197</v>
      </c>
      <c r="AM550" t="s">
        <v>198</v>
      </c>
      <c r="AR550" t="s">
        <v>194</v>
      </c>
      <c r="AS550" t="s">
        <v>199</v>
      </c>
      <c r="AU550" t="s">
        <v>197</v>
      </c>
      <c r="AZ550" t="s">
        <v>214</v>
      </c>
      <c r="BA550" t="s">
        <v>996</v>
      </c>
      <c r="BB550" t="s">
        <v>201</v>
      </c>
      <c r="BD550" t="s">
        <v>1172</v>
      </c>
      <c r="BE550" t="s">
        <v>900</v>
      </c>
      <c r="BF550" t="s">
        <v>197</v>
      </c>
      <c r="BJ550" t="s">
        <v>205</v>
      </c>
      <c r="BK550" t="s">
        <v>206</v>
      </c>
      <c r="BL550" t="s">
        <v>214</v>
      </c>
      <c r="BQ550" t="s">
        <v>280</v>
      </c>
      <c r="BR550" t="s">
        <v>232</v>
      </c>
      <c r="BT550" t="s">
        <v>197</v>
      </c>
      <c r="BV550" t="s">
        <v>233</v>
      </c>
      <c r="CA550" t="s">
        <v>194</v>
      </c>
      <c r="CB550" t="s">
        <v>214</v>
      </c>
      <c r="CF550" t="s">
        <v>215</v>
      </c>
      <c r="CH550" t="s">
        <v>214</v>
      </c>
      <c r="CI550" t="s">
        <v>214</v>
      </c>
      <c r="CJ550" t="s">
        <v>214</v>
      </c>
      <c r="CP550" t="s">
        <v>214</v>
      </c>
      <c r="CS550" t="s">
        <v>216</v>
      </c>
      <c r="CV550" t="s">
        <v>214</v>
      </c>
      <c r="CW550" t="s">
        <v>214</v>
      </c>
      <c r="CX550" t="s">
        <v>217</v>
      </c>
      <c r="CY550" t="s">
        <v>214</v>
      </c>
      <c r="DA550" t="s">
        <v>218</v>
      </c>
    </row>
    <row r="551" spans="1:119" x14ac:dyDescent="0.3">
      <c r="A551">
        <v>20318100</v>
      </c>
      <c r="B551">
        <v>11729505</v>
      </c>
      <c r="C551" t="str">
        <f>"140722502667"</f>
        <v>140722502667</v>
      </c>
      <c r="D551" t="s">
        <v>1466</v>
      </c>
      <c r="E551" t="s">
        <v>488</v>
      </c>
      <c r="F551" t="s">
        <v>289</v>
      </c>
      <c r="G551" s="1">
        <v>41842</v>
      </c>
      <c r="I551" t="s">
        <v>187</v>
      </c>
      <c r="J551" t="s">
        <v>188</v>
      </c>
      <c r="K551" t="s">
        <v>382</v>
      </c>
      <c r="Y551" t="str">
        <f>"2021-08-24T00:00:00"</f>
        <v>2021-08-24T00:00:00</v>
      </c>
      <c r="Z551" t="str">
        <f>"29"</f>
        <v>29</v>
      </c>
      <c r="AA551" t="s">
        <v>835</v>
      </c>
      <c r="AC551" t="s">
        <v>191</v>
      </c>
      <c r="AD551" t="s">
        <v>899</v>
      </c>
      <c r="AE551" t="s">
        <v>243</v>
      </c>
      <c r="AF551" t="s">
        <v>194</v>
      </c>
      <c r="AH551" t="s">
        <v>195</v>
      </c>
      <c r="AI551">
        <v>1</v>
      </c>
      <c r="AJ551" t="s">
        <v>196</v>
      </c>
      <c r="AK551" t="s">
        <v>194</v>
      </c>
      <c r="AL551" t="s">
        <v>197</v>
      </c>
      <c r="AM551" t="s">
        <v>198</v>
      </c>
      <c r="AR551" t="s">
        <v>194</v>
      </c>
      <c r="AS551" t="s">
        <v>199</v>
      </c>
      <c r="AU551" t="s">
        <v>197</v>
      </c>
      <c r="AZ551" t="s">
        <v>214</v>
      </c>
      <c r="BA551" t="s">
        <v>996</v>
      </c>
      <c r="BB551" t="s">
        <v>201</v>
      </c>
      <c r="BD551" t="s">
        <v>1172</v>
      </c>
      <c r="BE551" t="s">
        <v>900</v>
      </c>
      <c r="BF551" t="s">
        <v>197</v>
      </c>
      <c r="BJ551" t="s">
        <v>205</v>
      </c>
      <c r="BK551" t="s">
        <v>206</v>
      </c>
      <c r="BL551" t="s">
        <v>194</v>
      </c>
      <c r="BO551" t="s">
        <v>216</v>
      </c>
      <c r="BP551" t="s">
        <v>216</v>
      </c>
      <c r="BQ551" t="s">
        <v>280</v>
      </c>
      <c r="BR551" t="s">
        <v>232</v>
      </c>
      <c r="BT551" t="s">
        <v>197</v>
      </c>
      <c r="BV551" t="s">
        <v>233</v>
      </c>
      <c r="CA551" t="s">
        <v>194</v>
      </c>
      <c r="CB551" t="s">
        <v>214</v>
      </c>
      <c r="CF551" t="s">
        <v>215</v>
      </c>
      <c r="CH551" t="s">
        <v>214</v>
      </c>
      <c r="CI551" t="s">
        <v>214</v>
      </c>
      <c r="CJ551" t="s">
        <v>214</v>
      </c>
      <c r="CP551" t="s">
        <v>214</v>
      </c>
      <c r="CS551" t="s">
        <v>216</v>
      </c>
      <c r="CV551" t="s">
        <v>214</v>
      </c>
      <c r="CW551" t="s">
        <v>214</v>
      </c>
      <c r="CX551" t="s">
        <v>217</v>
      </c>
      <c r="CY551" t="s">
        <v>214</v>
      </c>
      <c r="DA551" t="s">
        <v>218</v>
      </c>
    </row>
    <row r="552" spans="1:119" x14ac:dyDescent="0.3">
      <c r="A552">
        <v>20318168</v>
      </c>
      <c r="B552">
        <v>11729513</v>
      </c>
      <c r="C552" t="str">
        <f>"150510503337"</f>
        <v>150510503337</v>
      </c>
      <c r="D552" t="s">
        <v>1467</v>
      </c>
      <c r="E552" t="s">
        <v>1468</v>
      </c>
      <c r="F552" t="s">
        <v>1469</v>
      </c>
      <c r="G552" s="1">
        <v>42134</v>
      </c>
      <c r="I552" t="s">
        <v>187</v>
      </c>
      <c r="J552" t="s">
        <v>188</v>
      </c>
      <c r="K552" t="s">
        <v>189</v>
      </c>
      <c r="Y552" t="str">
        <f>"2021-08-24T00:00:00"</f>
        <v>2021-08-24T00:00:00</v>
      </c>
      <c r="Z552" t="str">
        <f>"29"</f>
        <v>29</v>
      </c>
      <c r="AA552" t="s">
        <v>224</v>
      </c>
      <c r="AC552" t="s">
        <v>191</v>
      </c>
      <c r="AD552" t="s">
        <v>899</v>
      </c>
      <c r="AE552" t="s">
        <v>243</v>
      </c>
      <c r="AF552" t="s">
        <v>194</v>
      </c>
      <c r="AH552" t="s">
        <v>195</v>
      </c>
      <c r="AI552">
        <v>1</v>
      </c>
      <c r="AJ552" t="s">
        <v>196</v>
      </c>
      <c r="AK552" t="s">
        <v>194</v>
      </c>
      <c r="AL552" t="s">
        <v>197</v>
      </c>
      <c r="AM552" t="s">
        <v>811</v>
      </c>
      <c r="AR552" t="s">
        <v>214</v>
      </c>
      <c r="AU552" t="s">
        <v>197</v>
      </c>
      <c r="AZ552" t="s">
        <v>214</v>
      </c>
      <c r="BA552" t="s">
        <v>996</v>
      </c>
      <c r="BB552" t="s">
        <v>201</v>
      </c>
      <c r="BD552" t="s">
        <v>1172</v>
      </c>
      <c r="BE552" t="s">
        <v>900</v>
      </c>
      <c r="BF552" t="s">
        <v>197</v>
      </c>
      <c r="BJ552" t="s">
        <v>205</v>
      </c>
      <c r="BK552" t="s">
        <v>206</v>
      </c>
      <c r="BL552" t="s">
        <v>194</v>
      </c>
      <c r="BQ552" t="s">
        <v>280</v>
      </c>
      <c r="BR552" t="s">
        <v>232</v>
      </c>
      <c r="BT552" t="s">
        <v>197</v>
      </c>
      <c r="BV552" t="s">
        <v>233</v>
      </c>
      <c r="CA552" t="s">
        <v>194</v>
      </c>
      <c r="CB552" t="s">
        <v>214</v>
      </c>
      <c r="CF552" t="s">
        <v>215</v>
      </c>
      <c r="CH552" t="s">
        <v>214</v>
      </c>
      <c r="CI552" t="s">
        <v>214</v>
      </c>
      <c r="CJ552" t="s">
        <v>214</v>
      </c>
      <c r="CP552" t="s">
        <v>214</v>
      </c>
      <c r="CS552" t="s">
        <v>216</v>
      </c>
      <c r="CV552" t="s">
        <v>214</v>
      </c>
      <c r="CW552" t="s">
        <v>214</v>
      </c>
      <c r="CX552" t="s">
        <v>217</v>
      </c>
      <c r="CY552" t="s">
        <v>214</v>
      </c>
      <c r="DA552" t="s">
        <v>218</v>
      </c>
    </row>
    <row r="553" spans="1:119" x14ac:dyDescent="0.3">
      <c r="A553">
        <v>22028382</v>
      </c>
      <c r="B553">
        <v>940826</v>
      </c>
      <c r="C553" t="str">
        <f>"140505602742"</f>
        <v>140505602742</v>
      </c>
      <c r="D553" t="s">
        <v>759</v>
      </c>
      <c r="E553" t="s">
        <v>1470</v>
      </c>
      <c r="F553" t="s">
        <v>1471</v>
      </c>
      <c r="G553" s="1">
        <v>41764</v>
      </c>
      <c r="I553" t="s">
        <v>222</v>
      </c>
      <c r="J553" t="s">
        <v>188</v>
      </c>
      <c r="K553" t="s">
        <v>189</v>
      </c>
      <c r="Y553" t="str">
        <f>"2022-03-04T00:00:00"</f>
        <v>2022-03-04T00:00:00</v>
      </c>
      <c r="Z553" t="str">
        <f>"17"</f>
        <v>17</v>
      </c>
      <c r="AA553" t="s">
        <v>835</v>
      </c>
      <c r="AC553" t="s">
        <v>225</v>
      </c>
      <c r="AD553" t="s">
        <v>815</v>
      </c>
      <c r="AE553" t="s">
        <v>227</v>
      </c>
      <c r="AF553" t="s">
        <v>194</v>
      </c>
      <c r="AH553" t="s">
        <v>195</v>
      </c>
      <c r="AI553">
        <v>2</v>
      </c>
      <c r="AJ553" t="s">
        <v>196</v>
      </c>
      <c r="AK553" t="s">
        <v>194</v>
      </c>
      <c r="AL553" t="s">
        <v>197</v>
      </c>
      <c r="AM553" t="s">
        <v>198</v>
      </c>
      <c r="AR553" t="s">
        <v>194</v>
      </c>
      <c r="AS553" t="s">
        <v>199</v>
      </c>
      <c r="AU553" t="s">
        <v>197</v>
      </c>
      <c r="AZ553" t="s">
        <v>214</v>
      </c>
      <c r="BA553" t="s">
        <v>996</v>
      </c>
      <c r="BB553" t="s">
        <v>201</v>
      </c>
      <c r="BD553" t="s">
        <v>1172</v>
      </c>
      <c r="BE553" t="s">
        <v>229</v>
      </c>
      <c r="BF553" t="s">
        <v>197</v>
      </c>
      <c r="BG553" t="s">
        <v>230</v>
      </c>
      <c r="BH553" t="s">
        <v>231</v>
      </c>
      <c r="BJ553" t="s">
        <v>205</v>
      </c>
      <c r="BK553" t="s">
        <v>206</v>
      </c>
      <c r="BL553" t="s">
        <v>194</v>
      </c>
      <c r="BQ553" t="s">
        <v>271</v>
      </c>
      <c r="BR553" t="s">
        <v>232</v>
      </c>
      <c r="BT553" t="s">
        <v>197</v>
      </c>
      <c r="BV553" t="s">
        <v>233</v>
      </c>
      <c r="CA553" t="s">
        <v>194</v>
      </c>
      <c r="CB553" t="s">
        <v>214</v>
      </c>
      <c r="CF553" t="s">
        <v>215</v>
      </c>
      <c r="CH553" t="s">
        <v>214</v>
      </c>
      <c r="CI553" t="s">
        <v>214</v>
      </c>
      <c r="CJ553" t="s">
        <v>214</v>
      </c>
      <c r="CP553" t="s">
        <v>214</v>
      </c>
      <c r="CS553" t="s">
        <v>216</v>
      </c>
      <c r="CV553" t="s">
        <v>214</v>
      </c>
      <c r="CW553" t="s">
        <v>214</v>
      </c>
      <c r="CX553" t="s">
        <v>217</v>
      </c>
      <c r="CY553" t="s">
        <v>214</v>
      </c>
      <c r="DA553" t="s">
        <v>218</v>
      </c>
    </row>
    <row r="554" spans="1:119" x14ac:dyDescent="0.3">
      <c r="A554">
        <v>22110548</v>
      </c>
      <c r="B554">
        <v>31739</v>
      </c>
      <c r="C554" t="str">
        <f>"080616653412"</f>
        <v>080616653412</v>
      </c>
      <c r="D554" t="s">
        <v>1472</v>
      </c>
      <c r="E554" t="s">
        <v>667</v>
      </c>
      <c r="F554" t="s">
        <v>268</v>
      </c>
      <c r="G554" s="1">
        <v>39615</v>
      </c>
      <c r="I554" t="s">
        <v>222</v>
      </c>
      <c r="J554" t="s">
        <v>188</v>
      </c>
      <c r="K554" t="s">
        <v>223</v>
      </c>
      <c r="Y554" t="str">
        <f>"2022-02-26T00:00:00"</f>
        <v>2022-02-26T00:00:00</v>
      </c>
      <c r="Z554" t="str">
        <f>"16"</f>
        <v>16</v>
      </c>
      <c r="AA554" t="s">
        <v>835</v>
      </c>
      <c r="AC554" t="s">
        <v>237</v>
      </c>
      <c r="AD554" t="s">
        <v>226</v>
      </c>
      <c r="AE554" t="s">
        <v>227</v>
      </c>
      <c r="AF554" t="s">
        <v>194</v>
      </c>
      <c r="AH554" t="s">
        <v>195</v>
      </c>
      <c r="AI554">
        <v>3</v>
      </c>
      <c r="AJ554" t="s">
        <v>196</v>
      </c>
      <c r="AK554" t="s">
        <v>194</v>
      </c>
      <c r="AL554" t="s">
        <v>197</v>
      </c>
      <c r="AM554" t="s">
        <v>198</v>
      </c>
      <c r="AR554" t="s">
        <v>194</v>
      </c>
      <c r="AS554" t="s">
        <v>199</v>
      </c>
      <c r="AU554" t="s">
        <v>197</v>
      </c>
      <c r="AZ554" t="s">
        <v>214</v>
      </c>
      <c r="BA554" t="s">
        <v>996</v>
      </c>
      <c r="BB554" t="s">
        <v>201</v>
      </c>
      <c r="BD554" t="s">
        <v>1172</v>
      </c>
      <c r="BE554" t="s">
        <v>202</v>
      </c>
      <c r="BF554" t="s">
        <v>197</v>
      </c>
      <c r="BG554" t="s">
        <v>230</v>
      </c>
      <c r="BH554" t="s">
        <v>400</v>
      </c>
      <c r="BJ554" t="s">
        <v>205</v>
      </c>
      <c r="BK554" t="s">
        <v>206</v>
      </c>
      <c r="BL554" t="s">
        <v>194</v>
      </c>
      <c r="BR554" t="s">
        <v>232</v>
      </c>
      <c r="BT554" t="s">
        <v>197</v>
      </c>
      <c r="BV554" t="s">
        <v>233</v>
      </c>
      <c r="CA554" t="s">
        <v>194</v>
      </c>
      <c r="CB554" t="s">
        <v>214</v>
      </c>
      <c r="CF554" t="s">
        <v>215</v>
      </c>
      <c r="CH554" t="s">
        <v>214</v>
      </c>
      <c r="CI554" t="s">
        <v>214</v>
      </c>
      <c r="CJ554" t="s">
        <v>214</v>
      </c>
      <c r="CP554" t="s">
        <v>214</v>
      </c>
      <c r="CS554" t="s">
        <v>216</v>
      </c>
      <c r="CV554" t="s">
        <v>214</v>
      </c>
      <c r="CW554" t="s">
        <v>214</v>
      </c>
      <c r="CX554" t="s">
        <v>217</v>
      </c>
      <c r="CY554" t="s">
        <v>214</v>
      </c>
      <c r="DA554" t="s">
        <v>218</v>
      </c>
    </row>
    <row r="555" spans="1:119" x14ac:dyDescent="0.3">
      <c r="A555">
        <v>22129512</v>
      </c>
      <c r="B555">
        <v>622010</v>
      </c>
      <c r="C555" t="str">
        <f>"141008604363"</f>
        <v>141008604363</v>
      </c>
      <c r="D555" t="s">
        <v>1473</v>
      </c>
      <c r="E555" t="s">
        <v>1474</v>
      </c>
      <c r="F555" t="s">
        <v>1118</v>
      </c>
      <c r="G555" s="1">
        <v>41920</v>
      </c>
      <c r="I555" t="s">
        <v>222</v>
      </c>
      <c r="J555" t="s">
        <v>188</v>
      </c>
      <c r="K555" t="s">
        <v>189</v>
      </c>
      <c r="Y555" t="str">
        <f>"2022-04-02T00:00:00"</f>
        <v>2022-04-02T00:00:00</v>
      </c>
      <c r="Z555" t="str">
        <f>"22"</f>
        <v>22</v>
      </c>
      <c r="AA555" t="s">
        <v>224</v>
      </c>
      <c r="AC555" t="s">
        <v>255</v>
      </c>
      <c r="AD555" t="s">
        <v>899</v>
      </c>
      <c r="AE555" t="s">
        <v>243</v>
      </c>
      <c r="AF555" t="s">
        <v>194</v>
      </c>
      <c r="AH555" t="s">
        <v>195</v>
      </c>
      <c r="AI555">
        <v>1</v>
      </c>
      <c r="AJ555" t="s">
        <v>196</v>
      </c>
      <c r="AK555" t="s">
        <v>194</v>
      </c>
      <c r="AL555" t="s">
        <v>197</v>
      </c>
      <c r="AM555" t="s">
        <v>198</v>
      </c>
      <c r="AR555" t="s">
        <v>194</v>
      </c>
      <c r="AS555" t="s">
        <v>199</v>
      </c>
      <c r="AU555" t="s">
        <v>197</v>
      </c>
      <c r="AZ555" t="s">
        <v>214</v>
      </c>
      <c r="BA555" t="s">
        <v>996</v>
      </c>
      <c r="BB555" t="s">
        <v>201</v>
      </c>
      <c r="BE555" t="s">
        <v>900</v>
      </c>
      <c r="BF555" t="s">
        <v>197</v>
      </c>
      <c r="BJ555" t="s">
        <v>205</v>
      </c>
      <c r="BK555" t="s">
        <v>206</v>
      </c>
      <c r="BL555" t="s">
        <v>214</v>
      </c>
      <c r="BQ555" t="s">
        <v>286</v>
      </c>
      <c r="BR555" t="s">
        <v>232</v>
      </c>
      <c r="BT555" t="s">
        <v>197</v>
      </c>
      <c r="BV555" t="s">
        <v>233</v>
      </c>
      <c r="CA555" t="s">
        <v>194</v>
      </c>
      <c r="CB555" t="s">
        <v>214</v>
      </c>
      <c r="CF555" t="s">
        <v>215</v>
      </c>
      <c r="CH555" t="s">
        <v>214</v>
      </c>
      <c r="CI555" t="s">
        <v>214</v>
      </c>
      <c r="CJ555" t="s">
        <v>214</v>
      </c>
      <c r="CP555" t="s">
        <v>214</v>
      </c>
      <c r="CS555" t="s">
        <v>216</v>
      </c>
      <c r="CV555" t="s">
        <v>214</v>
      </c>
      <c r="CW555" t="s">
        <v>214</v>
      </c>
      <c r="CX555" t="s">
        <v>217</v>
      </c>
      <c r="CY555" t="s">
        <v>214</v>
      </c>
      <c r="DA555" t="s">
        <v>218</v>
      </c>
    </row>
    <row r="556" spans="1:119" x14ac:dyDescent="0.3">
      <c r="A556">
        <v>22178404</v>
      </c>
      <c r="B556">
        <v>12470435</v>
      </c>
      <c r="C556" t="str">
        <f>"091114653603"</f>
        <v>091114653603</v>
      </c>
      <c r="D556" t="s">
        <v>1475</v>
      </c>
      <c r="E556" t="s">
        <v>639</v>
      </c>
      <c r="F556" t="s">
        <v>1476</v>
      </c>
      <c r="G556" s="1">
        <v>40131</v>
      </c>
      <c r="I556" t="s">
        <v>222</v>
      </c>
      <c r="J556" t="s">
        <v>188</v>
      </c>
      <c r="K556" t="s">
        <v>223</v>
      </c>
      <c r="Y556" t="str">
        <f>"2018-09-07T00:00:00"</f>
        <v>2018-09-07T00:00:00</v>
      </c>
      <c r="Z556" t="str">
        <f>"29"</f>
        <v>29</v>
      </c>
      <c r="AA556" t="s">
        <v>224</v>
      </c>
      <c r="AC556" t="s">
        <v>191</v>
      </c>
      <c r="AD556" t="s">
        <v>285</v>
      </c>
      <c r="AE556" t="s">
        <v>243</v>
      </c>
      <c r="AF556" t="s">
        <v>194</v>
      </c>
      <c r="AH556" t="s">
        <v>195</v>
      </c>
      <c r="AI556">
        <v>1</v>
      </c>
      <c r="AJ556" t="s">
        <v>196</v>
      </c>
      <c r="AK556" t="s">
        <v>194</v>
      </c>
      <c r="AL556" t="s">
        <v>197</v>
      </c>
      <c r="AM556" t="s">
        <v>198</v>
      </c>
      <c r="AR556" t="s">
        <v>194</v>
      </c>
      <c r="AS556" t="s">
        <v>199</v>
      </c>
      <c r="AU556" t="s">
        <v>197</v>
      </c>
      <c r="AZ556" t="s">
        <v>214</v>
      </c>
      <c r="BA556" t="s">
        <v>996</v>
      </c>
      <c r="BB556" t="s">
        <v>201</v>
      </c>
      <c r="BD556" t="s">
        <v>1172</v>
      </c>
      <c r="BE556" t="s">
        <v>202</v>
      </c>
      <c r="BF556" t="s">
        <v>197</v>
      </c>
      <c r="BG556" t="s">
        <v>230</v>
      </c>
      <c r="BH556" t="s">
        <v>420</v>
      </c>
      <c r="BJ556" t="s">
        <v>205</v>
      </c>
      <c r="BK556" t="s">
        <v>206</v>
      </c>
      <c r="BL556" t="s">
        <v>194</v>
      </c>
      <c r="BQ556" t="s">
        <v>286</v>
      </c>
      <c r="BR556" t="s">
        <v>232</v>
      </c>
      <c r="BT556" t="s">
        <v>197</v>
      </c>
      <c r="BV556" t="s">
        <v>233</v>
      </c>
      <c r="CA556" t="s">
        <v>194</v>
      </c>
      <c r="CB556" t="s">
        <v>214</v>
      </c>
      <c r="CF556" t="s">
        <v>215</v>
      </c>
      <c r="CH556" t="s">
        <v>214</v>
      </c>
      <c r="CI556" t="s">
        <v>214</v>
      </c>
      <c r="CJ556" t="s">
        <v>214</v>
      </c>
      <c r="CP556" t="s">
        <v>214</v>
      </c>
      <c r="CS556" t="s">
        <v>216</v>
      </c>
      <c r="CV556" t="s">
        <v>214</v>
      </c>
      <c r="CW556" t="s">
        <v>214</v>
      </c>
      <c r="CX556" t="s">
        <v>217</v>
      </c>
      <c r="CY556" t="s">
        <v>214</v>
      </c>
      <c r="DA556" t="s">
        <v>218</v>
      </c>
    </row>
    <row r="557" spans="1:119" x14ac:dyDescent="0.3">
      <c r="A557">
        <v>22185016</v>
      </c>
      <c r="B557">
        <v>935068</v>
      </c>
      <c r="C557" t="str">
        <f>"060503651158"</f>
        <v>060503651158</v>
      </c>
      <c r="D557" t="s">
        <v>1477</v>
      </c>
      <c r="E557" t="s">
        <v>1478</v>
      </c>
      <c r="F557" t="s">
        <v>268</v>
      </c>
      <c r="G557" s="1">
        <v>38840</v>
      </c>
      <c r="I557" t="s">
        <v>222</v>
      </c>
      <c r="J557" t="s">
        <v>188</v>
      </c>
      <c r="K557" t="s">
        <v>223</v>
      </c>
      <c r="Y557" t="str">
        <f>"2022-04-22T00:00:00"</f>
        <v>2022-04-22T00:00:00</v>
      </c>
      <c r="Z557" t="str">
        <f>"27"</f>
        <v>27</v>
      </c>
      <c r="AA557" t="s">
        <v>835</v>
      </c>
      <c r="AB557" t="str">
        <f>"akm_arshalu_novoaleksandrovka@mail.ru"</f>
        <v>akm_arshalu_novoaleksandrovka@mail.ru</v>
      </c>
      <c r="AC557" t="s">
        <v>191</v>
      </c>
      <c r="AD557" t="s">
        <v>1217</v>
      </c>
      <c r="AE557" t="s">
        <v>227</v>
      </c>
      <c r="AF557" t="s">
        <v>194</v>
      </c>
      <c r="AH557" t="s">
        <v>195</v>
      </c>
      <c r="AI557">
        <v>2</v>
      </c>
      <c r="AJ557" t="s">
        <v>196</v>
      </c>
      <c r="AK557" t="s">
        <v>194</v>
      </c>
      <c r="AL557" t="s">
        <v>197</v>
      </c>
      <c r="AM557" t="s">
        <v>198</v>
      </c>
      <c r="AR557" t="s">
        <v>194</v>
      </c>
      <c r="AS557" t="s">
        <v>199</v>
      </c>
      <c r="AU557" t="s">
        <v>197</v>
      </c>
      <c r="AZ557" t="s">
        <v>214</v>
      </c>
      <c r="BA557" t="s">
        <v>996</v>
      </c>
      <c r="BB557" t="s">
        <v>201</v>
      </c>
      <c r="BD557" t="s">
        <v>1172</v>
      </c>
      <c r="BE557" t="s">
        <v>229</v>
      </c>
      <c r="BF557" t="s">
        <v>197</v>
      </c>
      <c r="BG557" t="s">
        <v>339</v>
      </c>
      <c r="BH557" t="s">
        <v>1479</v>
      </c>
      <c r="BJ557" t="s">
        <v>205</v>
      </c>
      <c r="BK557" t="s">
        <v>206</v>
      </c>
      <c r="BL557" t="s">
        <v>194</v>
      </c>
      <c r="BR557" t="s">
        <v>232</v>
      </c>
      <c r="BT557" t="s">
        <v>197</v>
      </c>
      <c r="BV557" t="s">
        <v>233</v>
      </c>
      <c r="CA557" t="s">
        <v>194</v>
      </c>
      <c r="CB557" t="s">
        <v>214</v>
      </c>
      <c r="CF557" t="s">
        <v>215</v>
      </c>
      <c r="CH557" t="s">
        <v>214</v>
      </c>
      <c r="CI557" t="s">
        <v>214</v>
      </c>
      <c r="CJ557" t="s">
        <v>214</v>
      </c>
      <c r="CP557" t="s">
        <v>214</v>
      </c>
      <c r="CS557" t="s">
        <v>216</v>
      </c>
      <c r="CV557" t="s">
        <v>214</v>
      </c>
      <c r="CW557" t="s">
        <v>214</v>
      </c>
      <c r="CX557" t="s">
        <v>217</v>
      </c>
      <c r="CY557" t="s">
        <v>214</v>
      </c>
      <c r="DA557" t="s">
        <v>218</v>
      </c>
    </row>
    <row r="558" spans="1:119" x14ac:dyDescent="0.3">
      <c r="A558">
        <v>22189980</v>
      </c>
      <c r="B558">
        <v>614633</v>
      </c>
      <c r="C558" t="str">
        <f>"100917550937"</f>
        <v>100917550937</v>
      </c>
      <c r="D558" t="s">
        <v>513</v>
      </c>
      <c r="E558" t="s">
        <v>1480</v>
      </c>
      <c r="F558" t="s">
        <v>515</v>
      </c>
      <c r="G558" s="1">
        <v>40438</v>
      </c>
      <c r="I558" t="s">
        <v>187</v>
      </c>
      <c r="J558" t="s">
        <v>188</v>
      </c>
      <c r="K558" t="s">
        <v>338</v>
      </c>
      <c r="Y558" t="str">
        <f>"2022-04-19T00:00:00"</f>
        <v>2022-04-19T00:00:00</v>
      </c>
      <c r="Z558" t="str">
        <f>"25"</f>
        <v>25</v>
      </c>
      <c r="AA558" t="s">
        <v>835</v>
      </c>
      <c r="AC558" t="s">
        <v>225</v>
      </c>
      <c r="AD558" t="s">
        <v>261</v>
      </c>
      <c r="AE558" t="s">
        <v>193</v>
      </c>
      <c r="AF558" t="s">
        <v>194</v>
      </c>
      <c r="AH558" t="s">
        <v>195</v>
      </c>
      <c r="AI558">
        <v>2</v>
      </c>
      <c r="AJ558" t="s">
        <v>196</v>
      </c>
      <c r="AK558" t="s">
        <v>194</v>
      </c>
      <c r="AL558" t="s">
        <v>197</v>
      </c>
      <c r="AM558" t="s">
        <v>198</v>
      </c>
      <c r="AR558" t="s">
        <v>194</v>
      </c>
      <c r="AS558" t="s">
        <v>199</v>
      </c>
      <c r="AU558" t="s">
        <v>197</v>
      </c>
      <c r="AZ558" t="s">
        <v>214</v>
      </c>
      <c r="BA558" t="s">
        <v>996</v>
      </c>
      <c r="BB558" t="s">
        <v>201</v>
      </c>
      <c r="BD558" t="s">
        <v>1172</v>
      </c>
      <c r="BE558" t="s">
        <v>229</v>
      </c>
      <c r="BF558" t="s">
        <v>197</v>
      </c>
      <c r="BG558" t="s">
        <v>230</v>
      </c>
      <c r="BH558" t="s">
        <v>307</v>
      </c>
      <c r="BJ558" t="s">
        <v>205</v>
      </c>
      <c r="BK558" t="s">
        <v>206</v>
      </c>
      <c r="BL558" t="s">
        <v>194</v>
      </c>
      <c r="BO558" t="s">
        <v>216</v>
      </c>
      <c r="BP558" t="s">
        <v>216</v>
      </c>
      <c r="BR558" t="s">
        <v>232</v>
      </c>
      <c r="BT558" t="s">
        <v>197</v>
      </c>
      <c r="BV558" t="s">
        <v>233</v>
      </c>
      <c r="CA558" t="s">
        <v>194</v>
      </c>
      <c r="CB558" t="s">
        <v>214</v>
      </c>
      <c r="CF558" t="s">
        <v>215</v>
      </c>
      <c r="CH558" t="s">
        <v>214</v>
      </c>
      <c r="CI558" t="s">
        <v>214</v>
      </c>
      <c r="CJ558" t="s">
        <v>214</v>
      </c>
      <c r="CP558" t="s">
        <v>214</v>
      </c>
      <c r="CS558" t="s">
        <v>216</v>
      </c>
      <c r="CV558" t="s">
        <v>214</v>
      </c>
      <c r="CW558" t="s">
        <v>214</v>
      </c>
      <c r="CX558" t="s">
        <v>217</v>
      </c>
      <c r="CY558" t="s">
        <v>214</v>
      </c>
      <c r="DA558" t="s">
        <v>218</v>
      </c>
    </row>
    <row r="559" spans="1:119" x14ac:dyDescent="0.3">
      <c r="A559">
        <v>16100796</v>
      </c>
      <c r="B559">
        <v>934502</v>
      </c>
      <c r="C559" t="str">
        <f>"120329504336"</f>
        <v>120329504336</v>
      </c>
      <c r="D559" t="s">
        <v>1481</v>
      </c>
      <c r="E559" t="s">
        <v>1482</v>
      </c>
      <c r="F559" t="s">
        <v>1483</v>
      </c>
      <c r="G559" s="1">
        <v>40997</v>
      </c>
      <c r="I559" t="s">
        <v>187</v>
      </c>
      <c r="J559" t="s">
        <v>188</v>
      </c>
      <c r="K559" t="s">
        <v>189</v>
      </c>
      <c r="Y559" t="str">
        <f>"2019-08-29T00:00:00"</f>
        <v>2019-08-29T00:00:00</v>
      </c>
      <c r="Z559" t="str">
        <f>"32"</f>
        <v>32</v>
      </c>
      <c r="AA559" t="s">
        <v>190</v>
      </c>
      <c r="AC559" t="s">
        <v>225</v>
      </c>
      <c r="AD559" t="s">
        <v>285</v>
      </c>
      <c r="AE559" t="s">
        <v>227</v>
      </c>
      <c r="AF559" t="s">
        <v>194</v>
      </c>
      <c r="AH559" t="s">
        <v>195</v>
      </c>
      <c r="AI559">
        <v>2</v>
      </c>
      <c r="AJ559" t="s">
        <v>196</v>
      </c>
      <c r="AK559" t="s">
        <v>194</v>
      </c>
      <c r="AL559" t="s">
        <v>197</v>
      </c>
      <c r="AM559" t="s">
        <v>198</v>
      </c>
      <c r="AR559" t="s">
        <v>194</v>
      </c>
      <c r="AS559" t="s">
        <v>199</v>
      </c>
      <c r="AU559" t="s">
        <v>197</v>
      </c>
      <c r="AZ559" t="s">
        <v>194</v>
      </c>
      <c r="BB559" t="s">
        <v>201</v>
      </c>
      <c r="BD559" t="s">
        <v>200</v>
      </c>
      <c r="BE559" t="s">
        <v>229</v>
      </c>
      <c r="BF559" t="s">
        <v>197</v>
      </c>
      <c r="BG559" t="s">
        <v>269</v>
      </c>
      <c r="BH559" t="s">
        <v>270</v>
      </c>
      <c r="BJ559" t="s">
        <v>205</v>
      </c>
      <c r="BK559" t="s">
        <v>206</v>
      </c>
      <c r="BL559" t="s">
        <v>194</v>
      </c>
      <c r="BO559" t="s">
        <v>216</v>
      </c>
      <c r="BP559" t="s">
        <v>216</v>
      </c>
      <c r="BQ559" t="s">
        <v>271</v>
      </c>
      <c r="BR559" t="s">
        <v>232</v>
      </c>
      <c r="BT559" t="s">
        <v>197</v>
      </c>
      <c r="BV559" t="s">
        <v>233</v>
      </c>
      <c r="CA559" t="s">
        <v>194</v>
      </c>
      <c r="CB559" t="s">
        <v>214</v>
      </c>
      <c r="CF559" t="s">
        <v>215</v>
      </c>
      <c r="CH559" t="s">
        <v>214</v>
      </c>
      <c r="CI559" t="s">
        <v>214</v>
      </c>
      <c r="CJ559" t="s">
        <v>214</v>
      </c>
      <c r="CP559" t="s">
        <v>214</v>
      </c>
      <c r="CS559" t="s">
        <v>216</v>
      </c>
      <c r="CV559" t="s">
        <v>214</v>
      </c>
      <c r="CW559" t="s">
        <v>214</v>
      </c>
      <c r="CX559" t="s">
        <v>217</v>
      </c>
      <c r="CY559" t="s">
        <v>214</v>
      </c>
      <c r="DA559" t="s">
        <v>218</v>
      </c>
      <c r="DM559" t="str">
        <f>"2022-06-02T00:00:00"</f>
        <v>2022-06-02T00:00:00</v>
      </c>
      <c r="DN559" t="str">
        <f>"32"</f>
        <v>32</v>
      </c>
      <c r="DO559" t="s">
        <v>835</v>
      </c>
    </row>
    <row r="560" spans="1:119" x14ac:dyDescent="0.3">
      <c r="A560">
        <v>21811966</v>
      </c>
      <c r="B560">
        <v>9711953</v>
      </c>
      <c r="C560" t="str">
        <f>"130305600658"</f>
        <v>130305600658</v>
      </c>
      <c r="D560" t="s">
        <v>1457</v>
      </c>
      <c r="E560" t="s">
        <v>1187</v>
      </c>
      <c r="F560" t="s">
        <v>439</v>
      </c>
      <c r="G560" s="1">
        <v>41338</v>
      </c>
      <c r="I560" t="s">
        <v>222</v>
      </c>
      <c r="J560" t="s">
        <v>188</v>
      </c>
      <c r="K560" t="s">
        <v>260</v>
      </c>
      <c r="Y560" t="str">
        <f>"2022-01-10T00:00:00"</f>
        <v>2022-01-10T00:00:00</v>
      </c>
      <c r="Z560" t="str">
        <f>"02"</f>
        <v>02</v>
      </c>
      <c r="AA560" t="s">
        <v>835</v>
      </c>
      <c r="AC560" t="s">
        <v>191</v>
      </c>
      <c r="AD560" t="s">
        <v>815</v>
      </c>
      <c r="AE560" t="s">
        <v>227</v>
      </c>
      <c r="AF560" t="s">
        <v>194</v>
      </c>
      <c r="AH560" t="s">
        <v>195</v>
      </c>
      <c r="AI560">
        <v>2</v>
      </c>
      <c r="AJ560" t="s">
        <v>196</v>
      </c>
      <c r="AK560" t="s">
        <v>194</v>
      </c>
      <c r="AL560" t="s">
        <v>197</v>
      </c>
      <c r="AM560" t="s">
        <v>198</v>
      </c>
      <c r="AR560" t="s">
        <v>194</v>
      </c>
      <c r="AS560" t="s">
        <v>199</v>
      </c>
      <c r="AU560" t="s">
        <v>197</v>
      </c>
      <c r="AZ560" t="s">
        <v>214</v>
      </c>
      <c r="BA560" t="s">
        <v>996</v>
      </c>
      <c r="BB560" t="s">
        <v>201</v>
      </c>
      <c r="BD560" t="s">
        <v>1172</v>
      </c>
      <c r="BE560" t="s">
        <v>229</v>
      </c>
      <c r="BF560" t="s">
        <v>197</v>
      </c>
      <c r="BG560" t="s">
        <v>230</v>
      </c>
      <c r="BH560" t="s">
        <v>307</v>
      </c>
      <c r="BJ560" t="s">
        <v>205</v>
      </c>
      <c r="BK560" t="s">
        <v>206</v>
      </c>
      <c r="BL560" t="s">
        <v>194</v>
      </c>
      <c r="BO560" t="s">
        <v>216</v>
      </c>
      <c r="BP560" t="s">
        <v>216</v>
      </c>
      <c r="BQ560" t="s">
        <v>731</v>
      </c>
      <c r="BR560" t="s">
        <v>232</v>
      </c>
      <c r="BT560" t="s">
        <v>197</v>
      </c>
      <c r="BV560" t="s">
        <v>233</v>
      </c>
      <c r="CA560" t="s">
        <v>214</v>
      </c>
      <c r="CB560" t="s">
        <v>214</v>
      </c>
      <c r="CF560" t="s">
        <v>215</v>
      </c>
      <c r="CH560" t="s">
        <v>214</v>
      </c>
      <c r="CI560" t="s">
        <v>214</v>
      </c>
      <c r="CJ560" t="s">
        <v>214</v>
      </c>
      <c r="CP560" t="s">
        <v>214</v>
      </c>
      <c r="CS560" t="s">
        <v>216</v>
      </c>
      <c r="CV560" t="s">
        <v>214</v>
      </c>
      <c r="CW560" t="s">
        <v>214</v>
      </c>
      <c r="CX560" t="s">
        <v>217</v>
      </c>
      <c r="CY560" t="s">
        <v>214</v>
      </c>
      <c r="DA560" t="s">
        <v>218</v>
      </c>
    </row>
    <row r="561" spans="1:105" x14ac:dyDescent="0.3">
      <c r="A561">
        <v>21841783</v>
      </c>
      <c r="B561">
        <v>6054738</v>
      </c>
      <c r="C561" t="str">
        <f>"100505554870"</f>
        <v>100505554870</v>
      </c>
      <c r="D561" t="s">
        <v>1484</v>
      </c>
      <c r="E561" t="s">
        <v>1485</v>
      </c>
      <c r="F561" t="s">
        <v>1486</v>
      </c>
      <c r="G561" s="1">
        <v>40303</v>
      </c>
      <c r="I561" t="s">
        <v>187</v>
      </c>
      <c r="J561" t="s">
        <v>188</v>
      </c>
      <c r="K561" t="s">
        <v>1446</v>
      </c>
      <c r="Y561" t="str">
        <f>"2022-01-18T00:00:00"</f>
        <v>2022-01-18T00:00:00</v>
      </c>
      <c r="Z561" t="str">
        <f>"06"</f>
        <v>06</v>
      </c>
      <c r="AA561" t="s">
        <v>835</v>
      </c>
      <c r="AC561" t="s">
        <v>191</v>
      </c>
      <c r="AD561" t="s">
        <v>261</v>
      </c>
      <c r="AE561" t="s">
        <v>243</v>
      </c>
      <c r="AF561" t="s">
        <v>194</v>
      </c>
      <c r="AH561" t="s">
        <v>195</v>
      </c>
      <c r="AI561">
        <v>3</v>
      </c>
      <c r="AJ561" t="s">
        <v>196</v>
      </c>
      <c r="AK561" t="s">
        <v>194</v>
      </c>
      <c r="AL561" t="s">
        <v>197</v>
      </c>
      <c r="AM561" t="s">
        <v>198</v>
      </c>
      <c r="AR561" t="s">
        <v>194</v>
      </c>
      <c r="AS561" t="s">
        <v>199</v>
      </c>
      <c r="AU561" t="s">
        <v>197</v>
      </c>
      <c r="AZ561" t="s">
        <v>214</v>
      </c>
      <c r="BA561" t="s">
        <v>996</v>
      </c>
      <c r="BB561" t="s">
        <v>201</v>
      </c>
      <c r="BD561" t="s">
        <v>1172</v>
      </c>
      <c r="BE561" t="s">
        <v>229</v>
      </c>
      <c r="BF561" t="s">
        <v>197</v>
      </c>
      <c r="BG561" t="s">
        <v>230</v>
      </c>
      <c r="BH561" t="s">
        <v>231</v>
      </c>
      <c r="BJ561" t="s">
        <v>205</v>
      </c>
      <c r="BK561" t="s">
        <v>206</v>
      </c>
      <c r="BL561" t="s">
        <v>194</v>
      </c>
      <c r="BO561" t="s">
        <v>216</v>
      </c>
      <c r="BP561" t="s">
        <v>216</v>
      </c>
      <c r="BR561" t="s">
        <v>232</v>
      </c>
      <c r="BT561" t="s">
        <v>1487</v>
      </c>
      <c r="BU561" t="s">
        <v>1488</v>
      </c>
      <c r="BV561" t="s">
        <v>233</v>
      </c>
      <c r="CA561" t="s">
        <v>194</v>
      </c>
      <c r="CB561" t="s">
        <v>214</v>
      </c>
      <c r="CF561" t="s">
        <v>215</v>
      </c>
      <c r="CH561" t="s">
        <v>214</v>
      </c>
      <c r="CI561" t="s">
        <v>214</v>
      </c>
      <c r="CJ561" t="s">
        <v>214</v>
      </c>
      <c r="CP561" t="s">
        <v>214</v>
      </c>
      <c r="CS561" t="s">
        <v>216</v>
      </c>
      <c r="CV561" t="s">
        <v>214</v>
      </c>
      <c r="CW561" t="s">
        <v>214</v>
      </c>
      <c r="CX561" t="s">
        <v>217</v>
      </c>
      <c r="CY561" t="s">
        <v>214</v>
      </c>
      <c r="DA561" t="s">
        <v>218</v>
      </c>
    </row>
    <row r="562" spans="1:105" x14ac:dyDescent="0.3">
      <c r="A562">
        <v>21843227</v>
      </c>
      <c r="B562">
        <v>1079252</v>
      </c>
      <c r="C562" t="str">
        <f>"111225501505"</f>
        <v>111225501505</v>
      </c>
      <c r="D562" t="s">
        <v>1489</v>
      </c>
      <c r="E562" t="s">
        <v>1490</v>
      </c>
      <c r="F562" t="s">
        <v>1491</v>
      </c>
      <c r="G562" s="1">
        <v>40902</v>
      </c>
      <c r="I562" t="s">
        <v>187</v>
      </c>
      <c r="J562" t="s">
        <v>188</v>
      </c>
      <c r="K562" t="s">
        <v>189</v>
      </c>
      <c r="Y562" t="str">
        <f>"2022-01-21T00:00:00"</f>
        <v>2022-01-21T00:00:00</v>
      </c>
      <c r="Z562" t="str">
        <f>"07"</f>
        <v>07</v>
      </c>
      <c r="AA562" t="s">
        <v>835</v>
      </c>
      <c r="AC562" t="s">
        <v>237</v>
      </c>
      <c r="AD562" t="s">
        <v>285</v>
      </c>
      <c r="AE562" t="s">
        <v>227</v>
      </c>
      <c r="AF562" t="s">
        <v>194</v>
      </c>
      <c r="AH562" t="s">
        <v>195</v>
      </c>
      <c r="AI562">
        <v>2</v>
      </c>
      <c r="AJ562" t="s">
        <v>196</v>
      </c>
      <c r="AK562" t="s">
        <v>194</v>
      </c>
      <c r="AL562" t="s">
        <v>197</v>
      </c>
      <c r="AM562" t="s">
        <v>198</v>
      </c>
      <c r="AR562" t="s">
        <v>194</v>
      </c>
      <c r="AS562" t="s">
        <v>199</v>
      </c>
      <c r="AU562" t="s">
        <v>197</v>
      </c>
      <c r="AZ562" t="s">
        <v>214</v>
      </c>
      <c r="BA562" t="s">
        <v>996</v>
      </c>
      <c r="BB562" t="s">
        <v>201</v>
      </c>
      <c r="BD562" t="s">
        <v>1172</v>
      </c>
      <c r="BE562" t="s">
        <v>229</v>
      </c>
      <c r="BF562" t="s">
        <v>197</v>
      </c>
      <c r="BG562" t="s">
        <v>230</v>
      </c>
      <c r="BH562" t="s">
        <v>231</v>
      </c>
      <c r="BJ562" t="s">
        <v>205</v>
      </c>
      <c r="BK562" t="s">
        <v>206</v>
      </c>
      <c r="BL562" t="s">
        <v>194</v>
      </c>
      <c r="BQ562" t="s">
        <v>1125</v>
      </c>
      <c r="BR562" t="s">
        <v>232</v>
      </c>
      <c r="BT562" t="s">
        <v>1492</v>
      </c>
      <c r="BU562" t="s">
        <v>1205</v>
      </c>
      <c r="BV562" t="s">
        <v>715</v>
      </c>
      <c r="BW562" t="s">
        <v>1493</v>
      </c>
      <c r="BX562" t="s">
        <v>1289</v>
      </c>
      <c r="BY562" t="s">
        <v>250</v>
      </c>
      <c r="BZ562" t="s">
        <v>1494</v>
      </c>
      <c r="CA562" t="s">
        <v>194</v>
      </c>
      <c r="CB562" t="s">
        <v>214</v>
      </c>
      <c r="CF562" t="s">
        <v>215</v>
      </c>
      <c r="CH562" t="s">
        <v>214</v>
      </c>
      <c r="CI562" t="s">
        <v>214</v>
      </c>
      <c r="CJ562" t="s">
        <v>214</v>
      </c>
      <c r="CP562" t="s">
        <v>214</v>
      </c>
      <c r="CS562" t="s">
        <v>216</v>
      </c>
      <c r="CV562" t="s">
        <v>214</v>
      </c>
      <c r="CW562" t="s">
        <v>214</v>
      </c>
      <c r="CX562" t="s">
        <v>217</v>
      </c>
      <c r="CY562" t="s">
        <v>214</v>
      </c>
      <c r="DA562" t="s">
        <v>218</v>
      </c>
    </row>
    <row r="563" spans="1:105" x14ac:dyDescent="0.3">
      <c r="A563">
        <v>21885455</v>
      </c>
      <c r="B563">
        <v>2682973</v>
      </c>
      <c r="C563" t="str">
        <f>"150709606121"</f>
        <v>150709606121</v>
      </c>
      <c r="D563" t="s">
        <v>1495</v>
      </c>
      <c r="E563" t="s">
        <v>744</v>
      </c>
      <c r="F563" t="s">
        <v>365</v>
      </c>
      <c r="G563" s="1">
        <v>42194</v>
      </c>
      <c r="I563" t="s">
        <v>222</v>
      </c>
      <c r="J563" t="s">
        <v>188</v>
      </c>
      <c r="K563" t="s">
        <v>223</v>
      </c>
      <c r="L563" t="s">
        <v>214</v>
      </c>
      <c r="Q563" t="s">
        <v>214</v>
      </c>
      <c r="Y563" t="str">
        <f>"2022-01-10T00:00:00"</f>
        <v>2022-01-10T00:00:00</v>
      </c>
      <c r="Z563" t="str">
        <f>"02"</f>
        <v>02</v>
      </c>
      <c r="AA563" t="s">
        <v>190</v>
      </c>
      <c r="AC563" t="s">
        <v>225</v>
      </c>
      <c r="AD563" t="s">
        <v>899</v>
      </c>
      <c r="AE563" t="s">
        <v>243</v>
      </c>
      <c r="AF563" t="s">
        <v>194</v>
      </c>
      <c r="AH563" t="s">
        <v>195</v>
      </c>
      <c r="AI563">
        <v>1</v>
      </c>
      <c r="AJ563" t="s">
        <v>196</v>
      </c>
      <c r="AK563" t="s">
        <v>194</v>
      </c>
      <c r="AL563" t="s">
        <v>197</v>
      </c>
      <c r="AM563" t="s">
        <v>198</v>
      </c>
      <c r="AR563" t="s">
        <v>194</v>
      </c>
      <c r="AS563" t="s">
        <v>199</v>
      </c>
      <c r="AU563" t="s">
        <v>197</v>
      </c>
      <c r="AZ563" t="s">
        <v>214</v>
      </c>
      <c r="BA563" t="s">
        <v>996</v>
      </c>
      <c r="BB563" t="s">
        <v>201</v>
      </c>
      <c r="BD563" t="s">
        <v>1172</v>
      </c>
      <c r="BE563" t="s">
        <v>900</v>
      </c>
      <c r="BF563" t="s">
        <v>197</v>
      </c>
      <c r="BJ563" t="s">
        <v>205</v>
      </c>
      <c r="BK563" t="s">
        <v>206</v>
      </c>
      <c r="BL563" t="s">
        <v>194</v>
      </c>
      <c r="BQ563" t="s">
        <v>280</v>
      </c>
      <c r="BR563" t="s">
        <v>232</v>
      </c>
      <c r="BT563" t="s">
        <v>197</v>
      </c>
      <c r="BV563" t="s">
        <v>233</v>
      </c>
      <c r="CA563" t="s">
        <v>214</v>
      </c>
      <c r="CB563" t="s">
        <v>214</v>
      </c>
      <c r="CF563" t="s">
        <v>215</v>
      </c>
      <c r="CH563" t="s">
        <v>214</v>
      </c>
      <c r="CI563" t="s">
        <v>214</v>
      </c>
      <c r="CJ563" t="s">
        <v>214</v>
      </c>
      <c r="CP563" t="s">
        <v>214</v>
      </c>
      <c r="CS563" t="s">
        <v>216</v>
      </c>
      <c r="CV563" t="s">
        <v>214</v>
      </c>
      <c r="CW563" t="s">
        <v>214</v>
      </c>
      <c r="CX563" t="s">
        <v>217</v>
      </c>
      <c r="CY563" t="s">
        <v>214</v>
      </c>
      <c r="DA563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Контингент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7</dc:creator>
  <cp:lastModifiedBy>каб 7</cp:lastModifiedBy>
  <dcterms:created xsi:type="dcterms:W3CDTF">2022-06-29T08:59:32Z</dcterms:created>
  <dcterms:modified xsi:type="dcterms:W3CDTF">2022-06-29T08:59:32Z</dcterms:modified>
</cp:coreProperties>
</file>